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2024\Izvršenje\"/>
    </mc:Choice>
  </mc:AlternateContent>
  <xr:revisionPtr revIDLastSave="0" documentId="13_ncr:1_{34091B79-75A1-4090-9AD9-2E9310B4888C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SAŽETAK" sheetId="1" r:id="rId1"/>
    <sheet name="Račun prihoda i rashoda" sheetId="3" r:id="rId2"/>
    <sheet name="Rashodi i prihodi prema izvoru" sheetId="4" r:id="rId3"/>
    <sheet name="Rashodi prema funkcijskoj k " sheetId="5" r:id="rId4"/>
    <sheet name="Programska klasifikacija" sheetId="2" r:id="rId5"/>
    <sheet name="Posebni izvještaj-EU fondovi" sheetId="10" r:id="rId6"/>
    <sheet name="Stanje potraživanja, obveza" sheetId="9" r:id="rId7"/>
  </sheets>
  <definedNames>
    <definedName name="_xlnm.Print_Area" localSheetId="4">'Programska klasifikacija'!$A$1:$M$191</definedName>
    <definedName name="_xlnm.Print_Area" localSheetId="1">'Račun prihoda i rashoda'!$A$1:$S$127</definedName>
  </definedNames>
  <calcPr calcId="191029"/>
  <customWorkbookViews>
    <customWorkbookView name="Racunovodja - osobni prikaz" guid="{005C429F-8448-44DF-83AD-8A930973E873}" mergeInterval="0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" l="1"/>
  <c r="K25" i="4"/>
  <c r="S43" i="3" l="1"/>
  <c r="S45" i="3"/>
  <c r="S47" i="3"/>
  <c r="S49" i="3"/>
  <c r="S51" i="3"/>
  <c r="S41" i="3"/>
  <c r="R43" i="3"/>
  <c r="R45" i="3"/>
  <c r="R47" i="3"/>
  <c r="R49" i="3"/>
  <c r="R51" i="3"/>
  <c r="R41" i="3"/>
  <c r="E24" i="4"/>
  <c r="E30" i="4" l="1"/>
  <c r="E13" i="4"/>
  <c r="E26" i="4"/>
  <c r="E23" i="4"/>
  <c r="E19" i="4"/>
  <c r="S64" i="3"/>
  <c r="R64" i="3"/>
  <c r="S59" i="3"/>
  <c r="R59" i="3"/>
  <c r="R30" i="3"/>
  <c r="S54" i="3"/>
  <c r="N28" i="4"/>
  <c r="N29" i="4"/>
  <c r="M28" i="4"/>
  <c r="M29" i="4"/>
  <c r="P61" i="3"/>
  <c r="N61" i="3"/>
  <c r="N16" i="3"/>
  <c r="N43" i="3"/>
  <c r="L24" i="3"/>
  <c r="N24" i="3"/>
  <c r="N95" i="3" l="1"/>
  <c r="N115" i="3"/>
  <c r="N116" i="3"/>
  <c r="N85" i="3"/>
  <c r="N72" i="3"/>
  <c r="N63" i="3" s="1"/>
  <c r="N65" i="3"/>
  <c r="N68" i="3"/>
  <c r="N78" i="3"/>
  <c r="N73" i="3"/>
  <c r="N64" i="3"/>
  <c r="N70" i="3"/>
  <c r="N120" i="3"/>
  <c r="N117" i="3"/>
  <c r="N114" i="3"/>
  <c r="N108" i="3"/>
  <c r="G21" i="2"/>
  <c r="G20" i="2"/>
  <c r="G13" i="2"/>
  <c r="K17" i="2"/>
  <c r="K13" i="2"/>
  <c r="I13" i="2"/>
  <c r="M19" i="2"/>
  <c r="M18" i="2"/>
  <c r="M189" i="2"/>
  <c r="M190" i="2"/>
  <c r="M191" i="2"/>
  <c r="K50" i="2"/>
  <c r="K48" i="2" s="1"/>
  <c r="I50" i="2"/>
  <c r="I48" i="2"/>
  <c r="M52" i="2"/>
  <c r="M53" i="2"/>
  <c r="M51" i="2"/>
  <c r="G50" i="2"/>
  <c r="G48" i="2" s="1"/>
  <c r="G56" i="2"/>
  <c r="I56" i="2"/>
  <c r="K56" i="2"/>
  <c r="M57" i="2"/>
  <c r="M58" i="2"/>
  <c r="M59" i="2"/>
  <c r="G60" i="2"/>
  <c r="I60" i="2"/>
  <c r="I54" i="2" s="1"/>
  <c r="K60" i="2"/>
  <c r="M60" i="2" s="1"/>
  <c r="M61" i="2"/>
  <c r="K188" i="2"/>
  <c r="I188" i="2"/>
  <c r="I186" i="2" s="1"/>
  <c r="I185" i="2"/>
  <c r="K185" i="2"/>
  <c r="K181" i="2"/>
  <c r="K180" i="2"/>
  <c r="I181" i="2"/>
  <c r="I180" i="2"/>
  <c r="I179" i="2"/>
  <c r="M183" i="2"/>
  <c r="I155" i="2"/>
  <c r="K155" i="2"/>
  <c r="G155" i="2"/>
  <c r="M156" i="2"/>
  <c r="M157" i="2"/>
  <c r="M158" i="2"/>
  <c r="M159" i="2"/>
  <c r="M160" i="2"/>
  <c r="M162" i="2"/>
  <c r="G163" i="2"/>
  <c r="G161" i="2" s="1"/>
  <c r="I163" i="2"/>
  <c r="I161" i="2" s="1"/>
  <c r="K163" i="2"/>
  <c r="K161" i="2" s="1"/>
  <c r="M164" i="2"/>
  <c r="K125" i="2"/>
  <c r="K120" i="2" s="1"/>
  <c r="I101" i="2"/>
  <c r="I100" i="2"/>
  <c r="I111" i="2"/>
  <c r="I110" i="2" s="1"/>
  <c r="I146" i="2"/>
  <c r="I145" i="2" s="1"/>
  <c r="K146" i="2"/>
  <c r="I143" i="2"/>
  <c r="K134" i="2"/>
  <c r="I134" i="2"/>
  <c r="I95" i="2"/>
  <c r="I94" i="2" s="1"/>
  <c r="I77" i="2"/>
  <c r="I75" i="2"/>
  <c r="G111" i="2"/>
  <c r="G110" i="2" s="1"/>
  <c r="G101" i="2"/>
  <c r="G100" i="2" s="1"/>
  <c r="M148" i="2"/>
  <c r="M149" i="2"/>
  <c r="M147" i="2"/>
  <c r="K143" i="2"/>
  <c r="M142" i="2"/>
  <c r="M141" i="2"/>
  <c r="M140" i="2"/>
  <c r="M139" i="2"/>
  <c r="M86" i="2"/>
  <c r="M88" i="2"/>
  <c r="M90" i="2"/>
  <c r="M91" i="2"/>
  <c r="M92" i="2"/>
  <c r="M96" i="2"/>
  <c r="M97" i="2"/>
  <c r="M128" i="2"/>
  <c r="I120" i="2"/>
  <c r="G120" i="2"/>
  <c r="M126" i="2"/>
  <c r="M124" i="2"/>
  <c r="K111" i="2"/>
  <c r="K110" i="2" s="1"/>
  <c r="M109" i="2"/>
  <c r="M108" i="2"/>
  <c r="M107" i="2"/>
  <c r="K95" i="2"/>
  <c r="G95" i="2"/>
  <c r="I87" i="2"/>
  <c r="K87" i="2"/>
  <c r="G87" i="2"/>
  <c r="I85" i="2"/>
  <c r="K85" i="2"/>
  <c r="G85" i="2"/>
  <c r="I89" i="2"/>
  <c r="K89" i="2"/>
  <c r="G89" i="2"/>
  <c r="M93" i="2"/>
  <c r="M83" i="2"/>
  <c r="K77" i="2"/>
  <c r="M79" i="2"/>
  <c r="K75" i="2"/>
  <c r="G75" i="2"/>
  <c r="G77" i="2"/>
  <c r="M73" i="2"/>
  <c r="M76" i="2"/>
  <c r="M78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K24" i="2"/>
  <c r="N127" i="3" l="1"/>
  <c r="M188" i="2"/>
  <c r="K174" i="2"/>
  <c r="K54" i="2"/>
  <c r="M50" i="2"/>
  <c r="M48" i="2"/>
  <c r="M56" i="2"/>
  <c r="M89" i="2"/>
  <c r="I174" i="2"/>
  <c r="M54" i="2"/>
  <c r="G54" i="2"/>
  <c r="M85" i="2"/>
  <c r="M163" i="2"/>
  <c r="M161" i="2"/>
  <c r="K133" i="2"/>
  <c r="M125" i="2"/>
  <c r="M87" i="2"/>
  <c r="M95" i="2"/>
  <c r="M110" i="2"/>
  <c r="G74" i="2"/>
  <c r="K74" i="2"/>
  <c r="M77" i="2"/>
  <c r="M75" i="2"/>
  <c r="I74" i="2"/>
  <c r="K13" i="5"/>
  <c r="P64" i="3"/>
  <c r="P70" i="3"/>
  <c r="P38" i="3"/>
  <c r="P32" i="3"/>
  <c r="P24" i="3"/>
  <c r="K23" i="4"/>
  <c r="K30" i="4" s="1"/>
  <c r="K51" i="4"/>
  <c r="K53" i="4" s="1"/>
  <c r="K49" i="4"/>
  <c r="K46" i="4"/>
  <c r="K42" i="4"/>
  <c r="K40" i="4"/>
  <c r="K36" i="4"/>
  <c r="I30" i="4"/>
  <c r="I53" i="4"/>
  <c r="I51" i="4"/>
  <c r="I49" i="4"/>
  <c r="I46" i="4"/>
  <c r="I42" i="4"/>
  <c r="I40" i="4"/>
  <c r="I36" i="4"/>
  <c r="K28" i="4"/>
  <c r="K26" i="4"/>
  <c r="M26" i="4" s="1"/>
  <c r="K19" i="4"/>
  <c r="K17" i="4"/>
  <c r="K13" i="4"/>
  <c r="I28" i="4"/>
  <c r="I26" i="4"/>
  <c r="I23" i="4"/>
  <c r="I13" i="4"/>
  <c r="M152" i="2"/>
  <c r="K151" i="2"/>
  <c r="K150" i="2" s="1"/>
  <c r="I151" i="2"/>
  <c r="G151" i="2"/>
  <c r="G150" i="2" s="1"/>
  <c r="G146" i="2"/>
  <c r="G145" i="2" s="1"/>
  <c r="G127" i="2"/>
  <c r="G118" i="2"/>
  <c r="G117" i="2" s="1"/>
  <c r="G134" i="2"/>
  <c r="M119" i="2"/>
  <c r="K118" i="2"/>
  <c r="K117" i="2" s="1"/>
  <c r="I118" i="2"/>
  <c r="I117" i="2" s="1"/>
  <c r="M135" i="2"/>
  <c r="M136" i="2"/>
  <c r="M137" i="2"/>
  <c r="M138" i="2"/>
  <c r="G143" i="2"/>
  <c r="M144" i="2"/>
  <c r="M102" i="2"/>
  <c r="M103" i="2"/>
  <c r="M104" i="2"/>
  <c r="K101" i="2"/>
  <c r="K100" i="2" s="1"/>
  <c r="M115" i="2"/>
  <c r="G94" i="2"/>
  <c r="I82" i="2"/>
  <c r="I81" i="2" s="1"/>
  <c r="K84" i="2"/>
  <c r="K94" i="2"/>
  <c r="K82" i="2"/>
  <c r="G82" i="2"/>
  <c r="G81" i="2" s="1"/>
  <c r="I72" i="2"/>
  <c r="I71" i="2" s="1"/>
  <c r="K72" i="2"/>
  <c r="G72" i="2"/>
  <c r="G71" i="2" s="1"/>
  <c r="G116" i="2" l="1"/>
  <c r="I150" i="2"/>
  <c r="M150" i="2" s="1"/>
  <c r="G70" i="2"/>
  <c r="M74" i="2"/>
  <c r="I70" i="2"/>
  <c r="K145" i="2"/>
  <c r="M145" i="2" s="1"/>
  <c r="M146" i="2"/>
  <c r="M94" i="2"/>
  <c r="K81" i="2"/>
  <c r="K80" i="2" s="1"/>
  <c r="M82" i="2"/>
  <c r="I84" i="2"/>
  <c r="M84" i="2" s="1"/>
  <c r="K71" i="2"/>
  <c r="K70" i="2" s="1"/>
  <c r="M72" i="2"/>
  <c r="M151" i="2"/>
  <c r="G133" i="2"/>
  <c r="M117" i="2"/>
  <c r="M118" i="2"/>
  <c r="M143" i="2"/>
  <c r="M101" i="2"/>
  <c r="G84" i="2"/>
  <c r="G80" i="2" s="1"/>
  <c r="G69" i="2" s="1"/>
  <c r="I80" i="2" l="1"/>
  <c r="I69" i="2" s="1"/>
  <c r="M81" i="2"/>
  <c r="M70" i="2"/>
  <c r="M71" i="2"/>
  <c r="K69" i="2" l="1"/>
  <c r="M80" i="2"/>
  <c r="G51" i="4"/>
  <c r="E51" i="4"/>
  <c r="M51" i="4" s="1"/>
  <c r="N50" i="4"/>
  <c r="N51" i="4"/>
  <c r="N52" i="4"/>
  <c r="M52" i="4"/>
  <c r="N49" i="4"/>
  <c r="G49" i="4"/>
  <c r="E49" i="4"/>
  <c r="G28" i="4"/>
  <c r="L108" i="3"/>
  <c r="L107" i="3" s="1"/>
  <c r="N107" i="3"/>
  <c r="P108" i="3"/>
  <c r="L103" i="3"/>
  <c r="L102" i="3"/>
  <c r="L99" i="3"/>
  <c r="J85" i="3"/>
  <c r="L94" i="3"/>
  <c r="L92" i="3"/>
  <c r="L90" i="3"/>
  <c r="L83" i="3"/>
  <c r="L82" i="3"/>
  <c r="L80" i="3"/>
  <c r="L79" i="3"/>
  <c r="L66" i="3"/>
  <c r="L65" i="3" s="1"/>
  <c r="L70" i="3"/>
  <c r="L73" i="3"/>
  <c r="I13" i="5"/>
  <c r="I12" i="5" s="1"/>
  <c r="M13" i="5"/>
  <c r="M12" i="5" s="1"/>
  <c r="K12" i="5"/>
  <c r="G12" i="5"/>
  <c r="E42" i="4"/>
  <c r="E40" i="4"/>
  <c r="E36" i="4"/>
  <c r="E47" i="4"/>
  <c r="E46" i="4" s="1"/>
  <c r="M50" i="4"/>
  <c r="M48" i="4"/>
  <c r="N48" i="4"/>
  <c r="E28" i="4"/>
  <c r="E17" i="4"/>
  <c r="J70" i="3"/>
  <c r="J65" i="3"/>
  <c r="J113" i="3"/>
  <c r="J112" i="3" s="1"/>
  <c r="S123" i="3"/>
  <c r="R123" i="3"/>
  <c r="P122" i="3"/>
  <c r="N122" i="3"/>
  <c r="L122" i="3"/>
  <c r="J108" i="3"/>
  <c r="J95" i="3"/>
  <c r="J78" i="3"/>
  <c r="J73" i="3"/>
  <c r="S109" i="3"/>
  <c r="S110" i="3"/>
  <c r="S111" i="3"/>
  <c r="R109" i="3"/>
  <c r="R110" i="3"/>
  <c r="R111" i="3"/>
  <c r="S67" i="3"/>
  <c r="R67" i="3"/>
  <c r="J68" i="3"/>
  <c r="J117" i="3"/>
  <c r="J120" i="3"/>
  <c r="J116" i="3" s="1"/>
  <c r="J59" i="3"/>
  <c r="J58" i="3" s="1"/>
  <c r="J57" i="3" s="1"/>
  <c r="J24" i="3"/>
  <c r="J22" i="3"/>
  <c r="J16" i="3"/>
  <c r="J55" i="3"/>
  <c r="J54" i="3" s="1"/>
  <c r="J53" i="3" s="1"/>
  <c r="S56" i="3"/>
  <c r="R56" i="3"/>
  <c r="P55" i="3"/>
  <c r="P54" i="3" s="1"/>
  <c r="N55" i="3"/>
  <c r="N54" i="3" s="1"/>
  <c r="N53" i="3" s="1"/>
  <c r="L55" i="3"/>
  <c r="L54" i="3" s="1"/>
  <c r="L53" i="3" s="1"/>
  <c r="J36" i="3"/>
  <c r="J34" i="3" s="1"/>
  <c r="J30" i="3" s="1"/>
  <c r="L49" i="3"/>
  <c r="N49" i="3"/>
  <c r="P49" i="3"/>
  <c r="J49" i="3"/>
  <c r="L59" i="3"/>
  <c r="L58" i="3" s="1"/>
  <c r="L57" i="3" s="1"/>
  <c r="N59" i="3"/>
  <c r="N58" i="3" s="1"/>
  <c r="N57" i="3" s="1"/>
  <c r="P59" i="3"/>
  <c r="P58" i="3" s="1"/>
  <c r="J43" i="3"/>
  <c r="J41" i="3" s="1"/>
  <c r="M69" i="2" l="1"/>
  <c r="M49" i="4"/>
  <c r="J64" i="3"/>
  <c r="S108" i="3"/>
  <c r="S122" i="3"/>
  <c r="P107" i="3"/>
  <c r="S107" i="3" s="1"/>
  <c r="E53" i="4"/>
  <c r="R108" i="3"/>
  <c r="R122" i="3"/>
  <c r="J115" i="3"/>
  <c r="J107" i="3"/>
  <c r="J105" i="3" s="1"/>
  <c r="J104" i="3" s="1"/>
  <c r="J72" i="3"/>
  <c r="J14" i="3"/>
  <c r="R58" i="3"/>
  <c r="J13" i="3"/>
  <c r="J61" i="3" s="1"/>
  <c r="P53" i="3"/>
  <c r="S53" i="3" s="1"/>
  <c r="S55" i="3"/>
  <c r="R54" i="3"/>
  <c r="R55" i="3"/>
  <c r="P57" i="3"/>
  <c r="S58" i="3"/>
  <c r="R107" i="3" l="1"/>
  <c r="R53" i="3"/>
  <c r="J63" i="3"/>
  <c r="R57" i="3"/>
  <c r="S57" i="3"/>
  <c r="L113" i="3" l="1"/>
  <c r="N113" i="3"/>
  <c r="P113" i="3"/>
  <c r="G33" i="1" l="1"/>
  <c r="I33" i="1"/>
  <c r="K33" i="1"/>
  <c r="E33" i="1"/>
  <c r="N41" i="4" l="1"/>
  <c r="G13" i="5" l="1"/>
  <c r="P14" i="5" l="1"/>
  <c r="O14" i="5"/>
  <c r="G46" i="4" l="1"/>
  <c r="G42" i="4"/>
  <c r="G40" i="4"/>
  <c r="G36" i="4"/>
  <c r="G53" i="4" s="1"/>
  <c r="N34" i="1"/>
  <c r="M34" i="1"/>
  <c r="N36" i="1"/>
  <c r="M36" i="1"/>
  <c r="P73" i="3" l="1"/>
  <c r="P43" i="3"/>
  <c r="G188" i="2" l="1"/>
  <c r="I153" i="2"/>
  <c r="M155" i="2" l="1"/>
  <c r="M181" i="2"/>
  <c r="K153" i="2"/>
  <c r="M153" i="2" s="1"/>
  <c r="G153" i="2"/>
  <c r="M122" i="2"/>
  <c r="M123" i="2"/>
  <c r="M106" i="2"/>
  <c r="M113" i="2"/>
  <c r="M114" i="2"/>
  <c r="M105" i="2"/>
  <c r="G23" i="4"/>
  <c r="L117" i="3"/>
  <c r="P117" i="3"/>
  <c r="J125" i="3"/>
  <c r="J124" i="3" s="1"/>
  <c r="L32" i="3"/>
  <c r="L30" i="3" s="1"/>
  <c r="N30" i="3"/>
  <c r="P30" i="3"/>
  <c r="G24" i="1"/>
  <c r="I21" i="1"/>
  <c r="I133" i="2" l="1"/>
  <c r="G186" i="2"/>
  <c r="G184" i="2"/>
  <c r="G167" i="2"/>
  <c r="G165" i="2" s="1"/>
  <c r="G131" i="2"/>
  <c r="G130" i="2" s="1"/>
  <c r="G65" i="2"/>
  <c r="G63" i="2" s="1"/>
  <c r="G24" i="2"/>
  <c r="G22" i="2" s="1"/>
  <c r="E24" i="1"/>
  <c r="E21" i="1"/>
  <c r="M14" i="2"/>
  <c r="G98" i="2" l="1"/>
  <c r="G62" i="2" s="1"/>
  <c r="G174" i="2"/>
  <c r="G170" i="2" s="1"/>
  <c r="G169" i="2" s="1"/>
  <c r="J127" i="3"/>
  <c r="E25" i="1"/>
  <c r="M133" i="2" l="1"/>
  <c r="M134" i="2"/>
  <c r="N18" i="1"/>
  <c r="M15" i="2" l="1"/>
  <c r="M16" i="2"/>
  <c r="M17" i="2"/>
  <c r="K65" i="2"/>
  <c r="K63" i="2" s="1"/>
  <c r="I65" i="2"/>
  <c r="I63" i="2" s="1"/>
  <c r="I184" i="2"/>
  <c r="K184" i="2"/>
  <c r="I167" i="2"/>
  <c r="I165" i="2" s="1"/>
  <c r="K167" i="2"/>
  <c r="I131" i="2"/>
  <c r="I130" i="2" s="1"/>
  <c r="K131" i="2"/>
  <c r="K127" i="2"/>
  <c r="K116" i="2" s="1"/>
  <c r="I127" i="2"/>
  <c r="I116" i="2" s="1"/>
  <c r="I98" i="2" l="1"/>
  <c r="I62" i="2" s="1"/>
  <c r="M127" i="2"/>
  <c r="M13" i="2"/>
  <c r="M184" i="2"/>
  <c r="K186" i="2"/>
  <c r="M120" i="2"/>
  <c r="M167" i="2"/>
  <c r="K165" i="2"/>
  <c r="M131" i="2"/>
  <c r="K130" i="2"/>
  <c r="K98" i="2" s="1"/>
  <c r="K62" i="2" s="1"/>
  <c r="M111" i="2"/>
  <c r="I24" i="2"/>
  <c r="M40" i="4"/>
  <c r="G26" i="4"/>
  <c r="G19" i="4"/>
  <c r="I19" i="4"/>
  <c r="G17" i="4"/>
  <c r="I17" i="4"/>
  <c r="M17" i="4"/>
  <c r="N14" i="4"/>
  <c r="G13" i="4"/>
  <c r="G30" i="4" s="1"/>
  <c r="I22" i="2" l="1"/>
  <c r="I21" i="2" s="1"/>
  <c r="M24" i="2"/>
  <c r="M13" i="4"/>
  <c r="N36" i="4"/>
  <c r="N46" i="4"/>
  <c r="N23" i="4"/>
  <c r="N19" i="4"/>
  <c r="N17" i="4"/>
  <c r="M46" i="4"/>
  <c r="N42" i="4"/>
  <c r="M23" i="4"/>
  <c r="N26" i="4"/>
  <c r="M19" i="4"/>
  <c r="N13" i="4"/>
  <c r="M65" i="2"/>
  <c r="M42" i="4"/>
  <c r="N40" i="4"/>
  <c r="M36" i="4"/>
  <c r="R114" i="3"/>
  <c r="S114" i="3"/>
  <c r="S71" i="3"/>
  <c r="S69" i="3"/>
  <c r="S66" i="3"/>
  <c r="N53" i="4" l="1"/>
  <c r="M53" i="4"/>
  <c r="L125" i="3"/>
  <c r="L124" i="3" s="1"/>
  <c r="N125" i="3"/>
  <c r="N124" i="3" s="1"/>
  <c r="P125" i="3"/>
  <c r="P124" i="3" s="1"/>
  <c r="S126" i="3"/>
  <c r="R126" i="3"/>
  <c r="S70" i="3" l="1"/>
  <c r="L95" i="3"/>
  <c r="O12" i="5"/>
  <c r="P12" i="5"/>
  <c r="O13" i="5"/>
  <c r="P13" i="5"/>
  <c r="S125" i="3"/>
  <c r="S124" i="3"/>
  <c r="R124" i="3"/>
  <c r="G21" i="1"/>
  <c r="R125" i="3" l="1"/>
  <c r="G25" i="1"/>
  <c r="N19" i="1"/>
  <c r="N20" i="1"/>
  <c r="N31" i="1"/>
  <c r="N32" i="1"/>
  <c r="N33" i="1"/>
  <c r="M19" i="1"/>
  <c r="M31" i="1"/>
  <c r="M32" i="1"/>
  <c r="M33" i="1"/>
  <c r="K21" i="1" l="1"/>
  <c r="I24" i="1" l="1"/>
  <c r="N23" i="1" l="1"/>
  <c r="K24" i="1"/>
  <c r="M178" i="2"/>
  <c r="M176" i="2"/>
  <c r="M168" i="2"/>
  <c r="M166" i="2"/>
  <c r="M66" i="2"/>
  <c r="M67" i="2"/>
  <c r="M68" i="2"/>
  <c r="K25" i="1" l="1"/>
  <c r="K37" i="1" s="1"/>
  <c r="I25" i="1"/>
  <c r="N21" i="1"/>
  <c r="I170" i="2"/>
  <c r="M180" i="2"/>
  <c r="N24" i="1"/>
  <c r="N22" i="1"/>
  <c r="M22" i="1"/>
  <c r="M165" i="2"/>
  <c r="R74" i="3"/>
  <c r="M23" i="1"/>
  <c r="M20" i="1"/>
  <c r="M35" i="1" l="1"/>
  <c r="N35" i="1"/>
  <c r="N37" i="1"/>
  <c r="M37" i="1"/>
  <c r="M174" i="2"/>
  <c r="K170" i="2"/>
  <c r="M21" i="1"/>
  <c r="M24" i="1"/>
  <c r="M18" i="1"/>
  <c r="N16" i="4" l="1"/>
  <c r="M15" i="4"/>
  <c r="M100" i="2" l="1"/>
  <c r="M25" i="1" l="1"/>
  <c r="P16" i="3" l="1"/>
  <c r="S16" i="3" l="1"/>
  <c r="R26" i="3"/>
  <c r="M14" i="4" l="1"/>
  <c r="L120" i="3" l="1"/>
  <c r="L112" i="3"/>
  <c r="L105" i="3"/>
  <c r="L104" i="3" s="1"/>
  <c r="L85" i="3"/>
  <c r="L78" i="3"/>
  <c r="L72" i="3" s="1"/>
  <c r="L68" i="3"/>
  <c r="L64" i="3" s="1"/>
  <c r="L43" i="3"/>
  <c r="L41" i="3" s="1"/>
  <c r="L38" i="3"/>
  <c r="L36" i="3"/>
  <c r="L22" i="3"/>
  <c r="L16" i="3"/>
  <c r="L63" i="3" l="1"/>
  <c r="L14" i="3"/>
  <c r="L34" i="3"/>
  <c r="L116" i="3"/>
  <c r="L115" i="3" s="1"/>
  <c r="L13" i="3" l="1"/>
  <c r="L61" i="3" s="1"/>
  <c r="L127" i="3"/>
  <c r="M179" i="2"/>
  <c r="R60" i="3" l="1"/>
  <c r="S60" i="3"/>
  <c r="M182" i="2"/>
  <c r="M177" i="2"/>
  <c r="M154" i="2"/>
  <c r="M64" i="2"/>
  <c r="N112" i="3"/>
  <c r="R73" i="3"/>
  <c r="R24" i="3"/>
  <c r="S113" i="3" l="1"/>
  <c r="P112" i="3"/>
  <c r="R113" i="3"/>
  <c r="S28" i="3"/>
  <c r="S26" i="3"/>
  <c r="S112" i="3" l="1"/>
  <c r="R112" i="3"/>
  <c r="R16" i="3"/>
  <c r="R28" i="3"/>
  <c r="S24" i="3" l="1"/>
  <c r="S40" i="3" l="1"/>
  <c r="R40" i="3"/>
  <c r="S37" i="3"/>
  <c r="R37" i="3"/>
  <c r="S33" i="3"/>
  <c r="R33" i="3"/>
  <c r="S23" i="3"/>
  <c r="R23" i="3"/>
  <c r="R118" i="3"/>
  <c r="S118" i="3"/>
  <c r="R119" i="3"/>
  <c r="S119" i="3"/>
  <c r="R121" i="3"/>
  <c r="S121" i="3"/>
  <c r="S96" i="3"/>
  <c r="R96" i="3"/>
  <c r="R99" i="3"/>
  <c r="S99" i="3"/>
  <c r="R100" i="3"/>
  <c r="S100" i="3"/>
  <c r="R101" i="3"/>
  <c r="S101" i="3"/>
  <c r="R102" i="3"/>
  <c r="S102" i="3"/>
  <c r="R103" i="3"/>
  <c r="S103" i="3"/>
  <c r="R106" i="3"/>
  <c r="S106" i="3"/>
  <c r="S98" i="3"/>
  <c r="R98" i="3"/>
  <c r="R66" i="3"/>
  <c r="R69" i="3"/>
  <c r="R71" i="3"/>
  <c r="S74" i="3"/>
  <c r="R75" i="3"/>
  <c r="S75" i="3"/>
  <c r="R76" i="3"/>
  <c r="S76" i="3"/>
  <c r="R77" i="3"/>
  <c r="S77" i="3"/>
  <c r="R79" i="3"/>
  <c r="S79" i="3"/>
  <c r="R80" i="3"/>
  <c r="S80" i="3"/>
  <c r="R81" i="3"/>
  <c r="S81" i="3"/>
  <c r="R82" i="3"/>
  <c r="S82" i="3"/>
  <c r="R83" i="3"/>
  <c r="S83" i="3"/>
  <c r="R84" i="3"/>
  <c r="S84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M112" i="2"/>
  <c r="M121" i="2"/>
  <c r="M129" i="2"/>
  <c r="M132" i="2"/>
  <c r="M185" i="2"/>
  <c r="M175" i="2"/>
  <c r="S18" i="3"/>
  <c r="S20" i="3"/>
  <c r="R18" i="3"/>
  <c r="R20" i="3"/>
  <c r="N25" i="1" l="1"/>
  <c r="M186" i="2"/>
  <c r="M170" i="2"/>
  <c r="M130" i="2"/>
  <c r="M116" i="2"/>
  <c r="M63" i="2"/>
  <c r="I169" i="2"/>
  <c r="I20" i="2" s="1"/>
  <c r="K169" i="2"/>
  <c r="M98" i="2" l="1"/>
  <c r="M169" i="2"/>
  <c r="M62" i="2"/>
  <c r="M27" i="4"/>
  <c r="K22" i="2" l="1"/>
  <c r="K21" i="2" s="1"/>
  <c r="K20" i="2" s="1"/>
  <c r="M39" i="4"/>
  <c r="N39" i="4"/>
  <c r="M41" i="4"/>
  <c r="M43" i="4"/>
  <c r="N43" i="4"/>
  <c r="M44" i="4"/>
  <c r="N44" i="4"/>
  <c r="M45" i="4"/>
  <c r="N45" i="4"/>
  <c r="M47" i="4"/>
  <c r="N47" i="4"/>
  <c r="N38" i="4"/>
  <c r="M38" i="4"/>
  <c r="N37" i="4"/>
  <c r="M37" i="4"/>
  <c r="M16" i="4"/>
  <c r="M18" i="4"/>
  <c r="N18" i="4"/>
  <c r="M20" i="4"/>
  <c r="N20" i="4"/>
  <c r="M21" i="4"/>
  <c r="N21" i="4"/>
  <c r="M22" i="4"/>
  <c r="N22" i="4"/>
  <c r="M24" i="4"/>
  <c r="N24" i="4"/>
  <c r="M25" i="4"/>
  <c r="N25" i="4"/>
  <c r="N27" i="4"/>
  <c r="N15" i="4"/>
  <c r="M22" i="2" l="1"/>
  <c r="M30" i="4"/>
  <c r="N30" i="4"/>
  <c r="M20" i="2" l="1"/>
  <c r="M21" i="2"/>
  <c r="N105" i="3"/>
  <c r="N104" i="3" s="1"/>
  <c r="P105" i="3"/>
  <c r="P120" i="3"/>
  <c r="P65" i="3"/>
  <c r="P68" i="3"/>
  <c r="R70" i="3"/>
  <c r="P78" i="3"/>
  <c r="P85" i="3"/>
  <c r="P95" i="3"/>
  <c r="S68" i="3" l="1"/>
  <c r="S65" i="3"/>
  <c r="P116" i="3"/>
  <c r="P115" i="3" s="1"/>
  <c r="R117" i="3"/>
  <c r="S117" i="3"/>
  <c r="R95" i="3"/>
  <c r="S95" i="3"/>
  <c r="R78" i="3"/>
  <c r="S78" i="3"/>
  <c r="R105" i="3"/>
  <c r="S105" i="3"/>
  <c r="S85" i="3"/>
  <c r="R85" i="3"/>
  <c r="R120" i="3"/>
  <c r="S120" i="3"/>
  <c r="R68" i="3"/>
  <c r="P104" i="3"/>
  <c r="P72" i="3"/>
  <c r="S73" i="3"/>
  <c r="N41" i="3"/>
  <c r="P36" i="3"/>
  <c r="N14" i="3"/>
  <c r="P22" i="3"/>
  <c r="P14" i="3" s="1"/>
  <c r="P63" i="3" l="1"/>
  <c r="S14" i="3"/>
  <c r="R14" i="3"/>
  <c r="S72" i="3"/>
  <c r="R72" i="3"/>
  <c r="S115" i="3"/>
  <c r="S22" i="3"/>
  <c r="R104" i="3"/>
  <c r="S104" i="3"/>
  <c r="R22" i="3"/>
  <c r="S32" i="3"/>
  <c r="R32" i="3"/>
  <c r="P34" i="3"/>
  <c r="S36" i="3"/>
  <c r="R36" i="3"/>
  <c r="S38" i="3"/>
  <c r="R38" i="3"/>
  <c r="P41" i="3"/>
  <c r="R116" i="3"/>
  <c r="S116" i="3"/>
  <c r="N34" i="3"/>
  <c r="N13" i="3" l="1"/>
  <c r="P127" i="3"/>
  <c r="P13" i="3"/>
  <c r="R115" i="3"/>
  <c r="S34" i="3"/>
  <c r="R34" i="3"/>
  <c r="S30" i="3"/>
  <c r="S63" i="3"/>
  <c r="R63" i="3"/>
  <c r="S127" i="3" l="1"/>
  <c r="R127" i="3"/>
  <c r="S13" i="3"/>
  <c r="R13" i="3"/>
  <c r="R61" i="3" l="1"/>
  <c r="S61" i="3"/>
  <c r="R65" i="3"/>
</calcChain>
</file>

<file path=xl/sharedStrings.xml><?xml version="1.0" encoding="utf-8"?>
<sst xmlns="http://schemas.openxmlformats.org/spreadsheetml/2006/main" count="484" uniqueCount="276">
  <si>
    <t>I. OPĆI DIO</t>
  </si>
  <si>
    <t>PRIHODI I RASHODI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</si>
  <si>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</si>
  <si>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</si>
  <si>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</si>
  <si>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</si>
  <si>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</si>
  <si>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</si>
  <si>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– višak/ manjak</t>
  </si>
  <si>
    <t>5 Izdaci za financijsku imovinu i otplate zajmova</t>
  </si>
  <si>
    <t>8 Primici od financijske imovine i zaduživanja</t>
  </si>
  <si>
    <t>9 Preneseni višak prethodnih godina</t>
  </si>
  <si>
    <t>Antuna Gustava Matoša 40, 23000 Zadar</t>
  </si>
  <si>
    <t>Glava: 030-05 SREDNJOŠKOLSKO OBRAZOVANJE</t>
  </si>
  <si>
    <t>Aktivnost: A2204-01 Djelatnost srednjih škola</t>
  </si>
  <si>
    <t>Izvor financiranje: 451 F.P. i dodatni udio u porezu na dohodak</t>
  </si>
  <si>
    <t>Brojčana oznaka i naziv računa prihoda i rashoda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</si>
  <si>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</si>
  <si>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</si>
  <si>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</si>
  <si>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</si>
  <si>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</si>
  <si>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</si>
  <si>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</si>
  <si>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</si>
  <si>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</si>
  <si>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</si>
  <si>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</si>
  <si>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</si>
  <si>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</si>
  <si>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VLASTITI IZVORI</t>
  </si>
  <si>
    <t>Pomoći temeljem prijenosa EU sredstava</t>
  </si>
  <si>
    <t>Prihodi od prodaje proizvoda i robe te pruženih usluga i prihodi od donacija</t>
  </si>
  <si>
    <t>Donacije od pravnih i fizičkih osoba izvan općeg proračuna</t>
  </si>
  <si>
    <t>Prihodi iz nadležnog proračuna za financiranje rashoda za nabavu nefinancijske imovine</t>
  </si>
  <si>
    <t>Rezultat poslovanja</t>
  </si>
  <si>
    <t>Višak prihoda</t>
  </si>
  <si>
    <t>Višak/manjak prihoda</t>
  </si>
  <si>
    <t>Indeks</t>
  </si>
  <si>
    <t>PRIHODI POSLOVANJA</t>
  </si>
  <si>
    <t>RASHODI POSLOVANJA</t>
  </si>
  <si>
    <t>SVEUKUPNO RASHODI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</si>
  <si>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</si>
  <si>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</si>
  <si>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</si>
  <si>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</si>
  <si>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</si>
  <si>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</si>
  <si>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</si>
  <si>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</si>
  <si>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</si>
  <si>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</si>
  <si>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</si>
  <si>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</si>
  <si>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</si>
  <si>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</si>
  <si>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</si>
  <si>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</si>
  <si>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</si>
  <si>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</si>
  <si>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</si>
  <si>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</si>
  <si>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</si>
  <si>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</si>
  <si>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</si>
  <si>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</si>
  <si>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</si>
  <si>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</si>
  <si>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</si>
  <si>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</si>
  <si>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</si>
  <si>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</si>
  <si>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</si>
  <si>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</si>
  <si>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</si>
  <si>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Zatezne kamate</t>
  </si>
  <si>
    <t>Rashodi za nabavu proizvedene dugotrajne imovine</t>
  </si>
  <si>
    <t>Postrojenja i oprema</t>
  </si>
  <si>
    <t>Uređaji, strojevi i oprema za ostale namjene</t>
  </si>
  <si>
    <t>Knjige, umjetnička djela i ostale izložbene vrijednosti</t>
  </si>
  <si>
    <t>Knjige</t>
  </si>
  <si>
    <t>RASHODI ZA NABAVU NEFINANCIJSKE IMOVINE</t>
  </si>
  <si>
    <t>Ostale naknade troškova zaposlenima</t>
  </si>
  <si>
    <t>Materijal i sirovine</t>
  </si>
  <si>
    <t>Komunalne usluge</t>
  </si>
  <si>
    <t>Usluge promidžbe i informiranja</t>
  </si>
  <si>
    <t>Članarine i norme</t>
  </si>
  <si>
    <t>Ostali financijski rashodi</t>
  </si>
  <si>
    <t>Uredska oprema i namještaj</t>
  </si>
  <si>
    <t>Naknade za prijevoz na posao i s posla</t>
  </si>
  <si>
    <t>Materijali  i sirovine</t>
  </si>
  <si>
    <t>Materijali i dijelovi za tekuće i investicijsko održavanje</t>
  </si>
  <si>
    <t>Doprinosi za OZO</t>
  </si>
  <si>
    <t>Aktivnost: A2204-07 Administracija i upravljanje</t>
  </si>
  <si>
    <t>Izvor financiranje: 51036 Državni proračun</t>
  </si>
  <si>
    <t>Novčana nak. posl. zbog nezapošljavanje osobe s inv.</t>
  </si>
  <si>
    <t>Program: 2204 SREDNJE ŠKOLSTVO – STANDARD</t>
  </si>
  <si>
    <t>Program: 2205 SREDNJE ŠKOLSTVO – IZNAD STANDARD</t>
  </si>
  <si>
    <t>Aktivnost: A2205-01 Javne potrebe u prosvjeti - korisnici u SŠ</t>
  </si>
  <si>
    <t>Izvor financiranje: 110 Opći prihodi i primici</t>
  </si>
  <si>
    <t>Aktivnost: A2205-12 Podizanje kvalitete i standarda u školstvu</t>
  </si>
  <si>
    <t>Izvor financiranje: 5103 Državni proračun</t>
  </si>
  <si>
    <t>Knjge</t>
  </si>
  <si>
    <t>Izvor financiranje: 41 Prihodi za posebne namjene</t>
  </si>
  <si>
    <t>Izvor financiranje: 31 Vlastiti prihodi - korisnici</t>
  </si>
  <si>
    <t>Izvor financiranje: 42035 Višak prihoda poslovanja</t>
  </si>
  <si>
    <t>Izvor financiranje: 51037 Državni proračun</t>
  </si>
  <si>
    <t>Aktivnost: A2205-22 Natjecanja i smotre u SŠ</t>
  </si>
  <si>
    <t>Ostali nespomenuti rashodi</t>
  </si>
  <si>
    <t>Program: 4306 NACIONALNI EU PROJEKTI</t>
  </si>
  <si>
    <t>Tekući projekt: T4306-03 Inkluzija – korak bliže društvu bez prepreka 2021./2022.</t>
  </si>
  <si>
    <t>Naknade za prijevoz</t>
  </si>
  <si>
    <t xml:space="preserve">Prihodi za posebne namjene </t>
  </si>
  <si>
    <t>UKUPNO</t>
  </si>
  <si>
    <t>Opći prihodi i primici</t>
  </si>
  <si>
    <t>Višak/manjak prihoda - ZŽ</t>
  </si>
  <si>
    <t>Predfinanciranje iz ŽP</t>
  </si>
  <si>
    <t>Vlastiti prihodi - korisnici</t>
  </si>
  <si>
    <t>Višak/manjak prihoda korisnici</t>
  </si>
  <si>
    <t>F.P. i dod. udio u por. na dohodak</t>
  </si>
  <si>
    <t>Državni proračun</t>
  </si>
  <si>
    <t>Pomoći iz inozemstva</t>
  </si>
  <si>
    <t>Tekuće donacije - korisnici</t>
  </si>
  <si>
    <t>PRIHODI PO IZVORIMA FINANCIRANJA</t>
  </si>
  <si>
    <t>šifra:</t>
  </si>
  <si>
    <t>Izvor financiranja:</t>
  </si>
  <si>
    <t>IF 54</t>
  </si>
  <si>
    <t>IF 19</t>
  </si>
  <si>
    <t>IF 11</t>
  </si>
  <si>
    <t>Prijenosi između proračunskih korisnika istog proračuna</t>
  </si>
  <si>
    <t>Tekući prijenosi između proračunskih korisnika istog proračuna temeljem prijenosa EU sredstava</t>
  </si>
  <si>
    <t>Tekući prijenosi između proračunskih korisnika istog proračuna</t>
  </si>
  <si>
    <t>Ostali rashodi</t>
  </si>
  <si>
    <t>Dopirnosi na plaće</t>
  </si>
  <si>
    <r>
      <t>5/2</t>
    </r>
    <r>
      <rPr>
        <b/>
        <sz val="11"/>
        <color theme="4" tint="0.39997558519241921"/>
        <rFont val="Calibri"/>
        <family val="2"/>
        <charset val="238"/>
        <scheme val="minor"/>
      </rPr>
      <t>.</t>
    </r>
  </si>
  <si>
    <r>
      <t>5/3</t>
    </r>
    <r>
      <rPr>
        <b/>
        <sz val="11"/>
        <color theme="4" tint="0.39997558519241921"/>
        <rFont val="Calibri"/>
        <family val="2"/>
        <charset val="238"/>
        <scheme val="minor"/>
      </rPr>
      <t>.</t>
    </r>
  </si>
  <si>
    <r>
      <t>5/4</t>
    </r>
    <r>
      <rPr>
        <b/>
        <sz val="11"/>
        <color theme="4" tint="0.39997558519241921"/>
        <rFont val="Calibri"/>
        <family val="2"/>
        <charset val="238"/>
        <scheme val="minor"/>
      </rPr>
      <t>.</t>
    </r>
  </si>
  <si>
    <t>Ostvarenje/ izvršenje 2023.</t>
  </si>
  <si>
    <t>Izvršenje 2023.</t>
  </si>
  <si>
    <t>Uredski materijal</t>
  </si>
  <si>
    <t>Aktivnost: A2205-34 Projekt e-škole</t>
  </si>
  <si>
    <t>110 Opći prihodi i primici</t>
  </si>
  <si>
    <t>Intelektualne usluge</t>
  </si>
  <si>
    <t>Aktivnost: A2205-37 Zalihe menstrualnih higijenskih potrepština</t>
  </si>
  <si>
    <t>Izvor financiranje: 511904 Državni proračun</t>
  </si>
  <si>
    <t>A. SAŽETAK RAČUNA PRIHODA I RASHODA</t>
  </si>
  <si>
    <t>B. SAŽETAK RAČUNA FINANCIRANJA</t>
  </si>
  <si>
    <t>UKUPNO PRIHODI + VIŠAK KORIŠTEN ZA POKRIĆE RASHODA</t>
  </si>
  <si>
    <t>Rashodi za dodatna ulaganja na nefinancijskoj imovini</t>
  </si>
  <si>
    <t>Dodatna ulaganja na građevinskim objektima</t>
  </si>
  <si>
    <t>Brojčana oznaka i naziv</t>
  </si>
  <si>
    <t>09</t>
  </si>
  <si>
    <t>Obrazovanje</t>
  </si>
  <si>
    <t>Srednjoškolsko obrazovanje</t>
  </si>
  <si>
    <t>092</t>
  </si>
  <si>
    <t>0922</t>
  </si>
  <si>
    <t>Više srednjoškolsko obrazovanje</t>
  </si>
  <si>
    <r>
      <t>4/3</t>
    </r>
    <r>
      <rPr>
        <b/>
        <sz val="11"/>
        <color theme="4" tint="0.39997558519241921"/>
        <rFont val="Calibri"/>
        <family val="2"/>
        <charset val="238"/>
        <scheme val="minor"/>
      </rPr>
      <t>.</t>
    </r>
  </si>
  <si>
    <t>SAŽETAK RAČUNA PRIHODA I RASHODA I RAČUNA FINANCIRANJA</t>
  </si>
  <si>
    <t xml:space="preserve">I. OPĆI DIO </t>
  </si>
  <si>
    <t>GODIŠNJI IZVJEŠTAJ O PRIHODIMA I RASHODIMA PREMA EKONOMSKOJ KLASIFIKACIJI</t>
  </si>
  <si>
    <t>RAČUN PRIHODA I RASHODA</t>
  </si>
  <si>
    <t>BROJČANA OZNAKA I NAZIV</t>
  </si>
  <si>
    <t>IZVJEŠTAJ O PRIHODIMA I RASHODIMA PREMA IZVORIMA FINANCIRANJA</t>
  </si>
  <si>
    <t>IZVJEŠTAJ O RASHODIMA PREMA FUNKCIJSKOJ KLASIFIKACIJI</t>
  </si>
  <si>
    <t>II. POSEBNI DIO</t>
  </si>
  <si>
    <t>IZVJEŠTAJ O IZVRŠENJU FINANCIJSKOG PLANA 2023. PREMA EKONOMSKOJ KLASIFIKACIJI, PROGRAMIMA TE IZVORIMA FINANCIRANJA</t>
  </si>
  <si>
    <t>Tekuće donacije u naravi</t>
  </si>
  <si>
    <t>Vlatiti prihodi</t>
  </si>
  <si>
    <t>Pomoći</t>
  </si>
  <si>
    <t>Donacije</t>
  </si>
  <si>
    <t>Brojčana oznaka i naziv funkcijske klasifikacije</t>
  </si>
  <si>
    <t>RASHODI PO IZVORIMA FINANCIRANJA</t>
  </si>
  <si>
    <t>Materijal za hig. potrebe u njegu</t>
  </si>
  <si>
    <t>Izvori financiranja ukupno</t>
  </si>
  <si>
    <t>Vlastiti prihodi</t>
  </si>
  <si>
    <t>Prihodi za posebne namjene</t>
  </si>
  <si>
    <t>II. POSEBNI IZVJEŠTAJI</t>
  </si>
  <si>
    <t>IZVJEŠTAJ O KORIŠTENJU SREDSTAVA FONDOVA EUROPSKE UNIJE</t>
  </si>
  <si>
    <t>Ostali fondovi EU</t>
  </si>
  <si>
    <t>IZVJEŠTAJ O STANJU POTRAŽIVANJA I DOSPJELIH OBVEZA TE O STANJU POTENCIJALNIH OBVEZA PO OSNOVI SUDSKIH SPOROVA</t>
  </si>
  <si>
    <t>Opis</t>
  </si>
  <si>
    <t>1.</t>
  </si>
  <si>
    <t>2.</t>
  </si>
  <si>
    <t>3.</t>
  </si>
  <si>
    <t>Od početka provedbe projekta</t>
  </si>
  <si>
    <t>RB</t>
  </si>
  <si>
    <t>Naziv projekta</t>
  </si>
  <si>
    <t>Fond financiranja projekta</t>
  </si>
  <si>
    <t>Program financiranja projekta</t>
  </si>
  <si>
    <t>Datum početka provedbe projekta</t>
  </si>
  <si>
    <t>Datum završetka provedbe projekta</t>
  </si>
  <si>
    <t>Ugovorena vrijednost projekta</t>
  </si>
  <si>
    <t>Ukupno uplaćena sredstva od početka provedbe projekta do 31.12.2023.</t>
  </si>
  <si>
    <t>Ukupno isplaćena sredstva od početka provedbe projekta do 31.12.2023.</t>
  </si>
  <si>
    <t xml:space="preserve">Stanje obveza </t>
  </si>
  <si>
    <t xml:space="preserve">Stanje potraživanja </t>
  </si>
  <si>
    <t>Erasmus+</t>
  </si>
  <si>
    <t>Nenaplaćena potraživanja</t>
  </si>
  <si>
    <t>Dospjele obveze</t>
  </si>
  <si>
    <t>Potencijalne obveze po osnovi sudskih sporova</t>
  </si>
  <si>
    <t>Tekući financijski plan 2024.</t>
  </si>
  <si>
    <t>Ostvarenje/ izvršenje 2024.</t>
  </si>
  <si>
    <t>Izvorni plan/ rebalans 2024.</t>
  </si>
  <si>
    <t>Tekući plan 2024.</t>
  </si>
  <si>
    <t>Izvršenje 2024.</t>
  </si>
  <si>
    <t>STANJE NA 31. 12. 2024.</t>
  </si>
  <si>
    <t>Stanja na dan 31.12.2024. godine</t>
  </si>
  <si>
    <t>Za 2024. godinu</t>
  </si>
  <si>
    <t>Prihodi projekta - 2024. godina</t>
  </si>
  <si>
    <t>Rashodi projekta - 2024. godina</t>
  </si>
  <si>
    <t>IF 12</t>
  </si>
  <si>
    <t xml:space="preserve">Izvor financiranje: 12154, 12151, 190062, 195062, 110, 51038, 540099 - </t>
  </si>
  <si>
    <t xml:space="preserve">Višak prihoda - ZŽ, Predfinanciranje iz ŽP, </t>
  </si>
  <si>
    <t>Opći prihodi i primici Državni proračun, Pomoći iz inozemstva</t>
  </si>
  <si>
    <t>Izvor financiranje: 540231 Pomoći iz inozemstva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</si>
  <si>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</si>
  <si>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</si>
  <si>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</si>
  <si>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</si>
  <si>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</si>
  <si>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UKUPNO PRIHODI</t>
  </si>
  <si>
    <t>Ekonomsko birotehnička i trgovačka škola  Zadar</t>
  </si>
  <si>
    <t>OIB: 04405149472 // RKP: 18848</t>
  </si>
  <si>
    <t>Kazne, upravne mjere i ostali prihodi</t>
  </si>
  <si>
    <t>Ostali prihodi</t>
  </si>
  <si>
    <t>PRIHODI OD PRODAJE NEFINANCIJSKE IMOVINE</t>
  </si>
  <si>
    <t>Prihodi od prodaje proizvedene dugotrajne imovine</t>
  </si>
  <si>
    <t>Prihodi od prodaje građevinskih objekata</t>
  </si>
  <si>
    <t>Plaće za prekovremenio rad</t>
  </si>
  <si>
    <t>Naknade građanima i kućanstvima na temelju osiguranja i druge nakanade</t>
  </si>
  <si>
    <t>Ostale naknade građanima i kućanstvima iz proračuna</t>
  </si>
  <si>
    <t>Naknade građanima i kućanstvima u novcu</t>
  </si>
  <si>
    <t>Naknade građanima i kućanstvima u naravi</t>
  </si>
  <si>
    <t>Naknade građanima i kućanstvima iz EU sredstava</t>
  </si>
  <si>
    <t>Nematerijalna proizvedena movina</t>
  </si>
  <si>
    <t>Ostala nematerijalna proizvedena imovina</t>
  </si>
  <si>
    <t>Prihodi od prodaje nefianncijske imovine</t>
  </si>
  <si>
    <t>Aktivnost: A2205-09 Obrazovanje odraslih- korisnici SŠ</t>
  </si>
  <si>
    <t>Izvor financiranja: 31 Vlastiti prihodi</t>
  </si>
  <si>
    <t>RASHODI ZA ZAPOSLENE</t>
  </si>
  <si>
    <t>PLAĆE</t>
  </si>
  <si>
    <t>MATERIJALNI RASHODI</t>
  </si>
  <si>
    <t>RASHODI ZA USLUGE</t>
  </si>
  <si>
    <t>Izvor financiranja: 42035 Višak prihodi SŠ</t>
  </si>
  <si>
    <t>RASHODI ZA NABAVU PROIZVEDENE DUGOTRAJNE IMOVINE</t>
  </si>
  <si>
    <t>POSTROJENJA I OPREMA</t>
  </si>
  <si>
    <t>Oprema</t>
  </si>
  <si>
    <t>Ostala uredska oprema</t>
  </si>
  <si>
    <t>Dnevnice za službeni put</t>
  </si>
  <si>
    <t>Ostale intelektualne usluge</t>
  </si>
  <si>
    <t>Ostale najamnine i zakupnine</t>
  </si>
  <si>
    <t>Ostale nespomenute usluge</t>
  </si>
  <si>
    <t>Plaće po sudskim presudama</t>
  </si>
  <si>
    <t>Sitan inventar</t>
  </si>
  <si>
    <t>Uređaji</t>
  </si>
  <si>
    <t>Izvor financiranje: 61 Tekuće donacije</t>
  </si>
  <si>
    <t>Dnevnice za službeni put u zemlji</t>
  </si>
  <si>
    <t>Izvor financiranje: 7104 Prihodi od prodaje nefinancijske imovine</t>
  </si>
  <si>
    <t>Ostale nespomenut usluge</t>
  </si>
  <si>
    <t>Pomoć osobama s invaliditetom</t>
  </si>
  <si>
    <t>EKONOMSKO BIROTEHNIČKA I TRGOVAČKA ŠKOLA ZADAR</t>
  </si>
  <si>
    <t>Oprema za grijanje i hlađemke</t>
  </si>
  <si>
    <t>Naknade članovima povjerenstva</t>
  </si>
  <si>
    <t>IF51</t>
  </si>
  <si>
    <t>Tekući projekt: T4307-52 Projekt Erasmus+2024-1-KA121 EBTŠ</t>
  </si>
  <si>
    <t>Dnevnice za službeni put u inozemstvu</t>
  </si>
  <si>
    <t>Ostale naknade iz proračunaq u novcu</t>
  </si>
  <si>
    <t>Aktivnost: A2204-04 Hitne intervencije u srednjim školama</t>
  </si>
  <si>
    <t>IF45</t>
  </si>
  <si>
    <t>IF11</t>
  </si>
  <si>
    <t>Izvor financiranje:  Državni proračun</t>
  </si>
  <si>
    <t>Erasmus+ 2024-1-HR01-KA121-VET-000226271</t>
  </si>
  <si>
    <t>EKONOMSKO BIROTEHNIČKA I TRGOVAČA ŠKOLA ZADAR- 18848</t>
  </si>
  <si>
    <t>Na temelju Zakona o proračunu ("Narodne novine" broj 144/21) i Pravilnika o polugodišnjem i godišnjem izvještaju o izvršenju proračuna i financijskog plana ("Narodne novine" broj 85/23) EKONOMSKO BIROTEHNIČKA I TRGOVAČA ŠKOLA ZADAR podnosi školskom odboru:</t>
  </si>
  <si>
    <t>GODIŠNJI IZVJEŠTAJ O IZVRŠENJU FINANCIJSKOG PLANA EKONOMSKO BIROTEHNIČKE I TRGOVAČKE ŠKOLE ZADAR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</si>
</sst>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/1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 tint="0.3999755851924192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0" fillId="0" borderId="0" xfId="0" applyNumberFormat="1"/>
    <xf numFmtId="0" fontId="6" fillId="2" borderId="21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" fontId="0" fillId="0" borderId="0" xfId="0" applyNumberFormat="1" applyAlignment="1">
      <alignment horizontal="center"/>
    </xf>
    <xf numFmtId="4" fontId="1" fillId="0" borderId="21" xfId="0" applyNumberFormat="1" applyFon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1" fillId="6" borderId="23" xfId="0" applyNumberFormat="1" applyFont="1" applyFill="1" applyBorder="1" applyAlignment="1">
      <alignment horizontal="right" vertical="center"/>
    </xf>
    <xf numFmtId="4" fontId="1" fillId="5" borderId="38" xfId="0" applyNumberFormat="1" applyFont="1" applyFill="1" applyBorder="1" applyAlignment="1">
      <alignment horizontal="right" vertical="center"/>
    </xf>
    <xf numFmtId="4" fontId="1" fillId="5" borderId="27" xfId="0" applyNumberFormat="1" applyFont="1" applyFill="1" applyBorder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0" borderId="31" xfId="0" applyNumberFormat="1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0" fillId="0" borderId="28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0" borderId="0" xfId="0" applyFont="1" applyAlignment="1">
      <alignment horizontal="center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4" fontId="1" fillId="3" borderId="21" xfId="0" applyNumberFormat="1" applyFont="1" applyFill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4" fontId="1" fillId="2" borderId="23" xfId="0" applyNumberFormat="1" applyFont="1" applyFill="1" applyBorder="1" applyAlignment="1">
      <alignment horizontal="center" vertical="center"/>
    </xf>
    <xf numFmtId="4" fontId="0" fillId="0" borderId="26" xfId="0" applyNumberFormat="1" applyBorder="1" applyAlignment="1">
      <alignment horizontal="right"/>
    </xf>
    <xf numFmtId="49" fontId="3" fillId="3" borderId="32" xfId="0" applyNumberFormat="1" applyFont="1" applyFill="1" applyBorder="1" applyAlignment="1">
      <alignment horizontal="right" vertical="center"/>
    </xf>
    <xf numFmtId="0" fontId="3" fillId="3" borderId="33" xfId="0" applyFont="1" applyFill="1" applyBorder="1" applyAlignment="1">
      <alignment vertical="center"/>
    </xf>
    <xf numFmtId="4" fontId="0" fillId="4" borderId="21" xfId="0" applyNumberFormat="1" applyFont="1" applyFill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4" fontId="0" fillId="0" borderId="26" xfId="0" applyNumberFormat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0" fontId="1" fillId="7" borderId="43" xfId="0" applyFont="1" applyFill="1" applyBorder="1" applyAlignment="1">
      <alignment vertical="center"/>
    </xf>
    <xf numFmtId="0" fontId="1" fillId="7" borderId="40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4" fontId="1" fillId="0" borderId="20" xfId="0" applyNumberFormat="1" applyFont="1" applyBorder="1" applyAlignment="1">
      <alignment horizontal="right" vertical="center"/>
    </xf>
    <xf numFmtId="0" fontId="1" fillId="7" borderId="39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/>
    </xf>
    <xf numFmtId="0" fontId="3" fillId="4" borderId="13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9" fillId="0" borderId="0" xfId="0" applyFont="1"/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34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4" fontId="1" fillId="0" borderId="2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1" fillId="4" borderId="2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" fontId="3" fillId="3" borderId="26" xfId="0" applyNumberFormat="1" applyFont="1" applyFill="1" applyBorder="1" applyAlignment="1">
      <alignment horizontal="right" vertical="center"/>
    </xf>
    <xf numFmtId="4" fontId="2" fillId="4" borderId="21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4" borderId="27" xfId="0" applyNumberFormat="1" applyFont="1" applyFill="1" applyBorder="1" applyAlignment="1">
      <alignment horizontal="right" vertical="center"/>
    </xf>
    <xf numFmtId="4" fontId="3" fillId="2" borderId="31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3" fillId="3" borderId="3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49" fontId="5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49" fontId="3" fillId="0" borderId="12" xfId="0" applyNumberFormat="1" applyFont="1" applyBorder="1" applyAlignment="1">
      <alignment horizontal="right" vertical="center"/>
    </xf>
    <xf numFmtId="4" fontId="3" fillId="4" borderId="21" xfId="0" applyNumberFormat="1" applyFont="1" applyFill="1" applyBorder="1" applyAlignment="1">
      <alignment horizontal="right" vertical="center"/>
    </xf>
    <xf numFmtId="4" fontId="2" fillId="4" borderId="21" xfId="0" applyNumberFormat="1" applyFont="1" applyFill="1" applyBorder="1" applyAlignment="1">
      <alignment horizontal="right" vertical="center"/>
    </xf>
    <xf numFmtId="4" fontId="2" fillId="4" borderId="27" xfId="0" applyNumberFormat="1" applyFont="1" applyFill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0" fillId="0" borderId="1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1" fillId="3" borderId="27" xfId="0" applyNumberFormat="1" applyFont="1" applyFill="1" applyBorder="1" applyAlignment="1">
      <alignment horizontal="right" vertical="center"/>
    </xf>
    <xf numFmtId="4" fontId="11" fillId="0" borderId="21" xfId="0" applyNumberFormat="1" applyFont="1" applyBorder="1" applyAlignment="1">
      <alignment horizontal="right" vertical="center"/>
    </xf>
    <xf numFmtId="4" fontId="12" fillId="0" borderId="21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4" fontId="1" fillId="8" borderId="18" xfId="0" applyNumberFormat="1" applyFont="1" applyFill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" fontId="1" fillId="4" borderId="18" xfId="0" applyNumberFormat="1" applyFont="1" applyFill="1" applyBorder="1" applyAlignment="1">
      <alignment horizontal="right" vertical="center"/>
    </xf>
    <xf numFmtId="4" fontId="1" fillId="4" borderId="27" xfId="0" applyNumberFormat="1" applyFont="1" applyFill="1" applyBorder="1" applyAlignment="1">
      <alignment horizontal="right" vertical="center"/>
    </xf>
    <xf numFmtId="4" fontId="1" fillId="0" borderId="24" xfId="0" applyNumberFormat="1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4" fontId="0" fillId="0" borderId="1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/>
    </xf>
    <xf numFmtId="4" fontId="1" fillId="3" borderId="18" xfId="0" applyNumberFormat="1" applyFont="1" applyFill="1" applyBorder="1" applyAlignment="1">
      <alignment horizont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/>
    </xf>
    <xf numFmtId="4" fontId="10" fillId="3" borderId="12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15" fillId="0" borderId="1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6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4" fontId="10" fillId="0" borderId="35" xfId="0" applyNumberFormat="1" applyFont="1" applyBorder="1" applyAlignment="1">
      <alignment horizontal="center" vertical="center"/>
    </xf>
    <xf numFmtId="4" fontId="10" fillId="0" borderId="36" xfId="0" applyNumberFormat="1" applyFont="1" applyBorder="1" applyAlignment="1">
      <alignment horizontal="center" vertical="center"/>
    </xf>
    <xf numFmtId="4" fontId="14" fillId="0" borderId="35" xfId="0" applyNumberFormat="1" applyFont="1" applyBorder="1" applyAlignment="1">
      <alignment horizontal="center" vertical="center"/>
    </xf>
    <xf numFmtId="4" fontId="14" fillId="0" borderId="37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10" fillId="2" borderId="31" xfId="0" applyNumberFormat="1" applyFont="1" applyFill="1" applyBorder="1" applyAlignment="1">
      <alignment horizontal="center"/>
    </xf>
    <xf numFmtId="0" fontId="5" fillId="0" borderId="51" xfId="0" applyFont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4" fontId="2" fillId="4" borderId="21" xfId="0" applyNumberFormat="1" applyFont="1" applyFill="1" applyBorder="1" applyAlignment="1">
      <alignment horizontal="right" vertical="center"/>
    </xf>
    <xf numFmtId="4" fontId="15" fillId="0" borderId="35" xfId="0" applyNumberFormat="1" applyFont="1" applyBorder="1" applyAlignment="1">
      <alignment horizontal="center" vertical="center" wrapText="1"/>
    </xf>
    <xf numFmtId="4" fontId="15" fillId="0" borderId="37" xfId="0" applyNumberFormat="1" applyFont="1" applyBorder="1" applyAlignment="1">
      <alignment horizontal="center" vertical="center" wrapText="1"/>
    </xf>
    <xf numFmtId="4" fontId="5" fillId="4" borderId="35" xfId="0" applyNumberFormat="1" applyFont="1" applyFill="1" applyBorder="1" applyAlignment="1">
      <alignment horizontal="center" vertical="center" wrapText="1"/>
    </xf>
    <xf numFmtId="4" fontId="5" fillId="4" borderId="37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10" fillId="3" borderId="12" xfId="0" applyNumberFormat="1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wrapText="1"/>
    </xf>
    <xf numFmtId="4" fontId="2" fillId="0" borderId="37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4" fontId="10" fillId="0" borderId="35" xfId="0" applyNumberFormat="1" applyFont="1" applyBorder="1" applyAlignment="1">
      <alignment horizontal="center" vertical="center" wrapText="1"/>
    </xf>
    <xf numFmtId="4" fontId="10" fillId="0" borderId="37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4" fontId="5" fillId="0" borderId="37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horizontal="center" vertical="center"/>
    </xf>
    <xf numFmtId="4" fontId="3" fillId="3" borderId="30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25" xfId="0" applyNumberFormat="1" applyFont="1" applyBorder="1" applyAlignment="1">
      <alignment horizontal="center" vertical="center" wrapText="1"/>
    </xf>
    <xf numFmtId="4" fontId="14" fillId="0" borderId="35" xfId="0" applyNumberFormat="1" applyFont="1" applyBorder="1" applyAlignment="1">
      <alignment horizontal="center" vertical="center" wrapText="1"/>
    </xf>
    <xf numFmtId="4" fontId="14" fillId="0" borderId="37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/>
    </xf>
    <xf numFmtId="4" fontId="3" fillId="4" borderId="27" xfId="0" applyNumberFormat="1" applyFont="1" applyFill="1" applyBorder="1" applyAlignment="1">
      <alignment horizontal="right" vertical="center"/>
    </xf>
    <xf numFmtId="4" fontId="3" fillId="4" borderId="26" xfId="0" applyNumberFormat="1" applyFont="1" applyFill="1" applyBorder="1" applyAlignment="1">
      <alignment horizontal="right" vertical="center"/>
    </xf>
    <xf numFmtId="4" fontId="3" fillId="4" borderId="21" xfId="0" applyNumberFormat="1" applyFont="1" applyFill="1" applyBorder="1" applyAlignment="1">
      <alignment horizontal="right" vertical="center"/>
    </xf>
    <xf numFmtId="4" fontId="10" fillId="3" borderId="29" xfId="0" applyNumberFormat="1" applyFont="1" applyFill="1" applyBorder="1" applyAlignment="1">
      <alignment horizontal="center" vertical="center"/>
    </xf>
    <xf numFmtId="4" fontId="10" fillId="3" borderId="30" xfId="0" applyNumberFormat="1" applyFont="1" applyFill="1" applyBorder="1" applyAlignment="1">
      <alignment horizontal="center" vertical="center"/>
    </xf>
    <xf numFmtId="4" fontId="2" fillId="4" borderId="27" xfId="0" applyNumberFormat="1" applyFont="1" applyFill="1" applyBorder="1" applyAlignment="1">
      <alignment horizontal="right" vertical="center"/>
    </xf>
    <xf numFmtId="4" fontId="2" fillId="4" borderId="26" xfId="0" applyNumberFormat="1" applyFont="1" applyFill="1" applyBorder="1" applyAlignment="1">
      <alignment horizontal="right" vertical="center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4" fontId="3" fillId="3" borderId="32" xfId="0" applyNumberFormat="1" applyFont="1" applyFill="1" applyBorder="1" applyAlignment="1">
      <alignment horizontal="center" vertical="center"/>
    </xf>
    <xf numFmtId="4" fontId="3" fillId="3" borderId="34" xfId="0" applyNumberFormat="1" applyFont="1" applyFill="1" applyBorder="1" applyAlignment="1">
      <alignment horizontal="center" vertical="center"/>
    </xf>
    <xf numFmtId="4" fontId="10" fillId="3" borderId="32" xfId="0" applyNumberFormat="1" applyFont="1" applyFill="1" applyBorder="1" applyAlignment="1">
      <alignment horizontal="center" vertical="center"/>
    </xf>
    <xf numFmtId="4" fontId="10" fillId="3" borderId="34" xfId="0" applyNumberFormat="1" applyFont="1" applyFill="1" applyBorder="1" applyAlignment="1">
      <alignment horizontal="center" vertical="center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15" fillId="0" borderId="37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25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0" fillId="0" borderId="52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0" fillId="0" borderId="18" xfId="0" applyNumberFormat="1" applyFont="1" applyBorder="1" applyAlignment="1">
      <alignment horizontal="center" vertical="center"/>
    </xf>
    <xf numFmtId="4" fontId="0" fillId="0" borderId="41" xfId="0" applyNumberFormat="1" applyFont="1" applyBorder="1" applyAlignment="1">
      <alignment horizontal="center" vertical="center"/>
    </xf>
    <xf numFmtId="4" fontId="0" fillId="0" borderId="4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1" fillId="0" borderId="51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0" fillId="0" borderId="50" xfId="0" applyNumberForma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1" fillId="0" borderId="42" xfId="0" applyNumberFormat="1" applyFont="1" applyBorder="1" applyAlignment="1">
      <alignment horizontal="center" vertical="center"/>
    </xf>
    <xf numFmtId="4" fontId="6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4" fontId="1" fillId="0" borderId="32" xfId="0" applyNumberFormat="1" applyFont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4" fontId="0" fillId="0" borderId="51" xfId="0" applyNumberForma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4" fontId="1" fillId="3" borderId="35" xfId="0" applyNumberFormat="1" applyFont="1" applyFill="1" applyBorder="1" applyAlignment="1">
      <alignment horizontal="center" vertical="center"/>
    </xf>
    <xf numFmtId="4" fontId="1" fillId="3" borderId="37" xfId="0" applyNumberFormat="1" applyFont="1" applyFill="1" applyBorder="1" applyAlignment="1">
      <alignment horizontal="center" vertical="center"/>
    </xf>
    <xf numFmtId="4" fontId="1" fillId="3" borderId="29" xfId="0" applyNumberFormat="1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4" fontId="1" fillId="3" borderId="27" xfId="0" applyNumberFormat="1" applyFont="1" applyFill="1" applyBorder="1" applyAlignment="1">
      <alignment horizontal="right" vertical="center"/>
    </xf>
    <xf numFmtId="4" fontId="1" fillId="3" borderId="38" xfId="0" applyNumberFormat="1" applyFont="1" applyFill="1" applyBorder="1" applyAlignment="1">
      <alignment horizontal="right" vertical="center"/>
    </xf>
    <xf numFmtId="4" fontId="13" fillId="0" borderId="12" xfId="0" applyNumberFormat="1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4" fontId="0" fillId="0" borderId="35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1" fillId="5" borderId="35" xfId="0" applyNumberFormat="1" applyFont="1" applyFill="1" applyBorder="1" applyAlignment="1">
      <alignment horizontal="center" vertical="center"/>
    </xf>
    <xf numFmtId="4" fontId="1" fillId="5" borderId="37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4" fontId="0" fillId="0" borderId="51" xfId="0" applyNumberFormat="1" applyFont="1" applyBorder="1" applyAlignment="1">
      <alignment horizontal="center" vertical="center"/>
    </xf>
    <xf numFmtId="4" fontId="0" fillId="0" borderId="48" xfId="0" applyNumberFormat="1" applyFont="1" applyBorder="1" applyAlignment="1">
      <alignment horizontal="center" vertical="center"/>
    </xf>
    <xf numFmtId="4" fontId="1" fillId="0" borderId="48" xfId="0" applyNumberFormat="1" applyFont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right" vertical="center"/>
    </xf>
    <xf numFmtId="4" fontId="1" fillId="6" borderId="23" xfId="0" applyNumberFormat="1" applyFont="1" applyFill="1" applyBorder="1" applyAlignment="1">
      <alignment horizontal="center" vertical="center"/>
    </xf>
    <xf numFmtId="4" fontId="1" fillId="5" borderId="29" xfId="0" applyNumberFormat="1" applyFont="1" applyFill="1" applyBorder="1" applyAlignment="1">
      <alignment horizontal="center" vertical="center"/>
    </xf>
    <xf numFmtId="4" fontId="1" fillId="5" borderId="30" xfId="0" applyNumberFormat="1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3" borderId="2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  <xf numFmtId="4" fontId="1" fillId="8" borderId="7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5" borderId="2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center" vertical="center"/>
    </xf>
    <xf numFmtId="4" fontId="3" fillId="4" borderId="19" xfId="0" applyNumberFormat="1" applyFont="1" applyFill="1" applyBorder="1" applyAlignment="1">
      <alignment horizontal="center" vertical="center"/>
    </xf>
    <xf numFmtId="4" fontId="3" fillId="4" borderId="32" xfId="0" applyNumberFormat="1" applyFont="1" applyFill="1" applyBorder="1" applyAlignment="1">
      <alignment horizontal="center" vertical="center"/>
    </xf>
    <xf numFmtId="4" fontId="3" fillId="4" borderId="3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7" zoomScaleNormal="100" workbookViewId="0">
      <selection activeCell="O11" sqref="O11"/>
    </sheetView>
  </sheetViews>
  <sheetFormatPr defaultRowHeight="15" x14ac:dyDescent="0.25"/>
  <cols>
    <col min="1" max="3" width="8.85546875" customWidth="1"/>
    <col min="4" max="4" width="12.85546875" customWidth="1"/>
    <col min="5" max="12" width="8.85546875" customWidth="1"/>
    <col min="15" max="15" width="12.7109375" bestFit="1" customWidth="1"/>
  </cols>
  <sheetData>
    <row r="1" spans="1:14" x14ac:dyDescent="0.25">
      <c r="A1" s="75" t="s">
        <v>222</v>
      </c>
    </row>
    <row r="2" spans="1:14" x14ac:dyDescent="0.25">
      <c r="A2" s="74" t="s">
        <v>12</v>
      </c>
    </row>
    <row r="3" spans="1:14" x14ac:dyDescent="0.25">
      <c r="A3" s="74" t="s">
        <v>223</v>
      </c>
    </row>
    <row r="5" spans="1:14" ht="15" customHeight="1" x14ac:dyDescent="0.25">
      <c r="A5" s="208" t="s">
        <v>274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x14ac:dyDescent="0.2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x14ac:dyDescent="0.25">
      <c r="A9" s="207" t="s">
        <v>275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</row>
    <row r="10" spans="1:14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5">
      <c r="A11" s="207" t="s">
        <v>0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1:14" x14ac:dyDescent="0.25">
      <c r="A12" s="207" t="s">
        <v>158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</row>
    <row r="14" spans="1:14" ht="15.75" thickBot="1" x14ac:dyDescent="0.3">
      <c r="A14" s="1" t="s">
        <v>145</v>
      </c>
    </row>
    <row r="15" spans="1:14" ht="15" customHeight="1" x14ac:dyDescent="0.25">
      <c r="A15" s="209" t="s">
        <v>1</v>
      </c>
      <c r="B15" s="210"/>
      <c r="C15" s="210"/>
      <c r="D15" s="211"/>
      <c r="E15" s="196" t="s">
        <v>137</v>
      </c>
      <c r="F15" s="196"/>
      <c r="G15" s="170" t="s">
        <v>203</v>
      </c>
      <c r="H15" s="171"/>
      <c r="I15" s="201" t="s">
        <v>201</v>
      </c>
      <c r="J15" s="202"/>
      <c r="K15" s="196" t="s">
        <v>202</v>
      </c>
      <c r="L15" s="196"/>
      <c r="M15" s="17" t="s">
        <v>38</v>
      </c>
      <c r="N15" s="17" t="s">
        <v>38</v>
      </c>
    </row>
    <row r="16" spans="1:14" x14ac:dyDescent="0.25">
      <c r="A16" s="212"/>
      <c r="B16" s="213"/>
      <c r="C16" s="213"/>
      <c r="D16" s="214"/>
      <c r="E16" s="197"/>
      <c r="F16" s="197"/>
      <c r="G16" s="172"/>
      <c r="H16" s="173"/>
      <c r="I16" s="203"/>
      <c r="J16" s="204"/>
      <c r="K16" s="197"/>
      <c r="L16" s="197"/>
      <c r="M16" s="20" t="s">
        <v>134</v>
      </c>
      <c r="N16" s="18" t="s">
        <v>136</v>
      </c>
    </row>
    <row r="17" spans="1:15" ht="15.75" thickBot="1" x14ac:dyDescent="0.3">
      <c r="A17" s="167">
        <v>1</v>
      </c>
      <c r="B17" s="168"/>
      <c r="C17" s="168"/>
      <c r="D17" s="169"/>
      <c r="E17" s="174">
        <v>2</v>
      </c>
      <c r="F17" s="174"/>
      <c r="G17" s="174">
        <v>3</v>
      </c>
      <c r="H17" s="174"/>
      <c r="I17" s="174">
        <v>4</v>
      </c>
      <c r="J17" s="174"/>
      <c r="K17" s="174">
        <v>5</v>
      </c>
      <c r="L17" s="174"/>
      <c r="M17" s="19">
        <v>6</v>
      </c>
      <c r="N17" s="19">
        <v>7</v>
      </c>
    </row>
    <row r="18" spans="1:15" x14ac:dyDescent="0.25">
      <c r="A18" s="189" t="s">
        <v>2</v>
      </c>
      <c r="B18" s="190"/>
      <c r="C18" s="190"/>
      <c r="D18" s="191"/>
      <c r="E18" s="175">
        <v>1909487.56</v>
      </c>
      <c r="F18" s="176"/>
      <c r="G18" s="175">
        <v>2220012.17</v>
      </c>
      <c r="H18" s="176"/>
      <c r="I18" s="175">
        <v>2334767.67</v>
      </c>
      <c r="J18" s="176"/>
      <c r="K18" s="175">
        <v>2273844.35</v>
      </c>
      <c r="L18" s="176"/>
      <c r="M18" s="53">
        <f>K18/E18*100</f>
        <v>119.08139113511692</v>
      </c>
      <c r="N18" s="53">
        <f>K18/I18*100</f>
        <v>97.390604607780958</v>
      </c>
      <c r="O18" s="25"/>
    </row>
    <row r="19" spans="1:15" x14ac:dyDescent="0.25">
      <c r="A19" s="186" t="s">
        <v>3</v>
      </c>
      <c r="B19" s="187"/>
      <c r="C19" s="187"/>
      <c r="D19" s="188"/>
      <c r="E19" s="177">
        <v>0</v>
      </c>
      <c r="F19" s="178"/>
      <c r="G19" s="177">
        <v>2500</v>
      </c>
      <c r="H19" s="178"/>
      <c r="I19" s="177">
        <v>2500</v>
      </c>
      <c r="J19" s="178"/>
      <c r="K19" s="177">
        <v>0</v>
      </c>
      <c r="L19" s="178"/>
      <c r="M19" s="50" t="e">
        <f t="shared" ref="M19:M33" si="0">K19/E19*100</f>
        <v>#DIV/0!</v>
      </c>
      <c r="N19" s="50">
        <f t="shared" ref="N19:N33" si="1">K19/I19*100</f>
        <v>0</v>
      </c>
    </row>
    <row r="20" spans="1:15" x14ac:dyDescent="0.25">
      <c r="A20" s="186" t="s">
        <v>11</v>
      </c>
      <c r="B20" s="187"/>
      <c r="C20" s="187"/>
      <c r="D20" s="188"/>
      <c r="E20" s="177">
        <v>79846.97</v>
      </c>
      <c r="F20" s="178"/>
      <c r="G20" s="177">
        <v>28081.59</v>
      </c>
      <c r="H20" s="178"/>
      <c r="I20" s="177">
        <v>28081.59</v>
      </c>
      <c r="J20" s="178"/>
      <c r="K20" s="177">
        <v>28081.59</v>
      </c>
      <c r="L20" s="178"/>
      <c r="M20" s="50">
        <f t="shared" si="0"/>
        <v>35.169261901860523</v>
      </c>
      <c r="N20" s="50">
        <f t="shared" si="1"/>
        <v>100</v>
      </c>
    </row>
    <row r="21" spans="1:15" s="74" customFormat="1" x14ac:dyDescent="0.25">
      <c r="A21" s="183" t="s">
        <v>4</v>
      </c>
      <c r="B21" s="184"/>
      <c r="C21" s="184"/>
      <c r="D21" s="185"/>
      <c r="E21" s="179">
        <f>SUM(E18:F20)</f>
        <v>1989334.53</v>
      </c>
      <c r="F21" s="180"/>
      <c r="G21" s="179">
        <f>SUM(G18:H20)</f>
        <v>2250593.7599999998</v>
      </c>
      <c r="H21" s="180"/>
      <c r="I21" s="179">
        <f>SUM(I18:J20)</f>
        <v>2365349.2599999998</v>
      </c>
      <c r="J21" s="180"/>
      <c r="K21" s="179">
        <f>SUM(K18:L20)</f>
        <v>2301925.94</v>
      </c>
      <c r="L21" s="180"/>
      <c r="M21" s="49">
        <f>K21/E21*100</f>
        <v>115.71336571531788</v>
      </c>
      <c r="N21" s="49">
        <f>K21/I21*100</f>
        <v>97.318648832435002</v>
      </c>
    </row>
    <row r="22" spans="1:15" x14ac:dyDescent="0.25">
      <c r="A22" s="186" t="s">
        <v>5</v>
      </c>
      <c r="B22" s="187"/>
      <c r="C22" s="187"/>
      <c r="D22" s="188"/>
      <c r="E22" s="177">
        <v>1927969.53</v>
      </c>
      <c r="F22" s="178"/>
      <c r="G22" s="177">
        <v>2244093.7599999998</v>
      </c>
      <c r="H22" s="178"/>
      <c r="I22" s="177">
        <v>2353912.2400000002</v>
      </c>
      <c r="J22" s="178"/>
      <c r="K22" s="177">
        <v>2242054.08</v>
      </c>
      <c r="L22" s="178"/>
      <c r="M22" s="50">
        <f t="shared" si="0"/>
        <v>116.29094988861158</v>
      </c>
      <c r="N22" s="50">
        <f t="shared" si="1"/>
        <v>95.247989364293375</v>
      </c>
      <c r="O22" s="25"/>
    </row>
    <row r="23" spans="1:15" x14ac:dyDescent="0.25">
      <c r="A23" s="186" t="s">
        <v>6</v>
      </c>
      <c r="B23" s="187"/>
      <c r="C23" s="187"/>
      <c r="D23" s="188"/>
      <c r="E23" s="177">
        <v>33283.410000000003</v>
      </c>
      <c r="F23" s="178"/>
      <c r="G23" s="177">
        <v>6500</v>
      </c>
      <c r="H23" s="178"/>
      <c r="I23" s="177">
        <v>11437.02</v>
      </c>
      <c r="J23" s="178"/>
      <c r="K23" s="177">
        <v>4939.22</v>
      </c>
      <c r="L23" s="178"/>
      <c r="M23" s="50">
        <f t="shared" si="0"/>
        <v>14.839885696808109</v>
      </c>
      <c r="N23" s="50">
        <f t="shared" si="1"/>
        <v>43.186249565009064</v>
      </c>
      <c r="O23" s="25"/>
    </row>
    <row r="24" spans="1:15" s="74" customFormat="1" x14ac:dyDescent="0.25">
      <c r="A24" s="183" t="s">
        <v>7</v>
      </c>
      <c r="B24" s="184"/>
      <c r="C24" s="184"/>
      <c r="D24" s="185"/>
      <c r="E24" s="179">
        <f>SUM(E22:F23)</f>
        <v>1961252.94</v>
      </c>
      <c r="F24" s="180"/>
      <c r="G24" s="179">
        <f>SUM(G22:H23)</f>
        <v>2250593.7599999998</v>
      </c>
      <c r="H24" s="180"/>
      <c r="I24" s="179">
        <f>SUM(I22:J23)</f>
        <v>2365349.2600000002</v>
      </c>
      <c r="J24" s="180"/>
      <c r="K24" s="179">
        <f>SUM(K22:L23)</f>
        <v>2246993.3000000003</v>
      </c>
      <c r="L24" s="180"/>
      <c r="M24" s="49">
        <f t="shared" ref="M24" si="2">K24/E24*100</f>
        <v>114.56927631170308</v>
      </c>
      <c r="N24" s="49">
        <f t="shared" ref="N24" si="3">K24/I24*100</f>
        <v>94.996258607492067</v>
      </c>
      <c r="O24" s="25"/>
    </row>
    <row r="25" spans="1:15" ht="15.75" thickBot="1" x14ac:dyDescent="0.3">
      <c r="A25" s="198" t="s">
        <v>8</v>
      </c>
      <c r="B25" s="199"/>
      <c r="C25" s="199"/>
      <c r="D25" s="200"/>
      <c r="E25" s="181">
        <f>E21-E24</f>
        <v>28081.590000000084</v>
      </c>
      <c r="F25" s="182"/>
      <c r="G25" s="181">
        <f>G21-G24</f>
        <v>0</v>
      </c>
      <c r="H25" s="182"/>
      <c r="I25" s="181">
        <f>I21-I24</f>
        <v>0</v>
      </c>
      <c r="J25" s="182"/>
      <c r="K25" s="181">
        <f>K21-K24</f>
        <v>54932.639999999665</v>
      </c>
      <c r="L25" s="182"/>
      <c r="M25" s="51">
        <f t="shared" si="0"/>
        <v>195.61798316975464</v>
      </c>
      <c r="N25" s="51" t="e">
        <f t="shared" si="1"/>
        <v>#DIV/0!</v>
      </c>
    </row>
    <row r="26" spans="1:15" x14ac:dyDescent="0.25">
      <c r="M26" s="25"/>
      <c r="N26" s="25"/>
      <c r="O26" s="25"/>
    </row>
    <row r="27" spans="1:15" ht="15.75" thickBot="1" x14ac:dyDescent="0.3">
      <c r="A27" s="1" t="s">
        <v>146</v>
      </c>
    </row>
    <row r="28" spans="1:15" ht="15" customHeight="1" x14ac:dyDescent="0.25">
      <c r="A28" s="205" t="s">
        <v>162</v>
      </c>
      <c r="B28" s="205"/>
      <c r="C28" s="205"/>
      <c r="D28" s="205"/>
      <c r="E28" s="196" t="s">
        <v>137</v>
      </c>
      <c r="F28" s="196"/>
      <c r="G28" s="170" t="s">
        <v>203</v>
      </c>
      <c r="H28" s="171"/>
      <c r="I28" s="201" t="s">
        <v>201</v>
      </c>
      <c r="J28" s="202"/>
      <c r="K28" s="196" t="s">
        <v>202</v>
      </c>
      <c r="L28" s="196"/>
      <c r="M28" s="52" t="s">
        <v>38</v>
      </c>
      <c r="N28" s="17" t="s">
        <v>38</v>
      </c>
    </row>
    <row r="29" spans="1:15" x14ac:dyDescent="0.25">
      <c r="A29" s="206"/>
      <c r="B29" s="206"/>
      <c r="C29" s="206"/>
      <c r="D29" s="206"/>
      <c r="E29" s="197"/>
      <c r="F29" s="197"/>
      <c r="G29" s="172"/>
      <c r="H29" s="173"/>
      <c r="I29" s="203"/>
      <c r="J29" s="204"/>
      <c r="K29" s="197"/>
      <c r="L29" s="197"/>
      <c r="M29" s="20" t="s">
        <v>134</v>
      </c>
      <c r="N29" s="18" t="s">
        <v>136</v>
      </c>
      <c r="O29" s="25"/>
    </row>
    <row r="30" spans="1:15" ht="15.75" thickBot="1" x14ac:dyDescent="0.3">
      <c r="A30" s="167">
        <v>1</v>
      </c>
      <c r="B30" s="168"/>
      <c r="C30" s="168"/>
      <c r="D30" s="169"/>
      <c r="E30" s="174">
        <v>2</v>
      </c>
      <c r="F30" s="174"/>
      <c r="G30" s="174">
        <v>3</v>
      </c>
      <c r="H30" s="174"/>
      <c r="I30" s="174">
        <v>4</v>
      </c>
      <c r="J30" s="174"/>
      <c r="K30" s="174">
        <v>5</v>
      </c>
      <c r="L30" s="174"/>
      <c r="M30" s="19">
        <v>6</v>
      </c>
      <c r="N30" s="19">
        <v>7</v>
      </c>
      <c r="O30" s="25"/>
    </row>
    <row r="31" spans="1:15" x14ac:dyDescent="0.25">
      <c r="A31" s="192" t="s">
        <v>10</v>
      </c>
      <c r="B31" s="192"/>
      <c r="C31" s="192"/>
      <c r="D31" s="192"/>
      <c r="E31" s="194">
        <v>0</v>
      </c>
      <c r="F31" s="194"/>
      <c r="G31" s="194">
        <v>0</v>
      </c>
      <c r="H31" s="194"/>
      <c r="I31" s="194">
        <v>0</v>
      </c>
      <c r="J31" s="194"/>
      <c r="K31" s="194">
        <v>0</v>
      </c>
      <c r="L31" s="194"/>
      <c r="M31" s="44" t="e">
        <f t="shared" si="0"/>
        <v>#DIV/0!</v>
      </c>
      <c r="N31" s="44" t="e">
        <f t="shared" si="1"/>
        <v>#DIV/0!</v>
      </c>
    </row>
    <row r="32" spans="1:15" x14ac:dyDescent="0.25">
      <c r="A32" s="193" t="s">
        <v>9</v>
      </c>
      <c r="B32" s="193"/>
      <c r="C32" s="193"/>
      <c r="D32" s="193"/>
      <c r="E32" s="195">
        <v>0</v>
      </c>
      <c r="F32" s="195"/>
      <c r="G32" s="195">
        <v>0</v>
      </c>
      <c r="H32" s="195"/>
      <c r="I32" s="195">
        <v>0</v>
      </c>
      <c r="J32" s="195"/>
      <c r="K32" s="195">
        <v>0</v>
      </c>
      <c r="L32" s="195"/>
      <c r="M32" s="45" t="e">
        <f t="shared" si="0"/>
        <v>#DIV/0!</v>
      </c>
      <c r="N32" s="45" t="e">
        <f t="shared" si="1"/>
        <v>#DIV/0!</v>
      </c>
    </row>
    <row r="33" spans="1:14" x14ac:dyDescent="0.25">
      <c r="A33" s="183" t="s">
        <v>216</v>
      </c>
      <c r="B33" s="184"/>
      <c r="C33" s="184"/>
      <c r="D33" s="185"/>
      <c r="E33" s="179">
        <f>E31-E32</f>
        <v>0</v>
      </c>
      <c r="F33" s="180"/>
      <c r="G33" s="179">
        <f t="shared" ref="G33" si="4">G31-G32</f>
        <v>0</v>
      </c>
      <c r="H33" s="180"/>
      <c r="I33" s="179">
        <f t="shared" ref="I33" si="5">I31-I32</f>
        <v>0</v>
      </c>
      <c r="J33" s="180"/>
      <c r="K33" s="179">
        <f t="shared" ref="K33" si="6">K31-K32</f>
        <v>0</v>
      </c>
      <c r="L33" s="180"/>
      <c r="M33" s="49" t="e">
        <f t="shared" si="0"/>
        <v>#DIV/0!</v>
      </c>
      <c r="N33" s="49" t="e">
        <f t="shared" si="1"/>
        <v>#DIV/0!</v>
      </c>
    </row>
    <row r="34" spans="1:14" s="74" customFormat="1" x14ac:dyDescent="0.25">
      <c r="A34" s="193" t="s">
        <v>217</v>
      </c>
      <c r="B34" s="193"/>
      <c r="C34" s="193"/>
      <c r="D34" s="193"/>
      <c r="E34" s="195">
        <v>79846.97</v>
      </c>
      <c r="F34" s="195"/>
      <c r="G34" s="195">
        <v>28081.59</v>
      </c>
      <c r="H34" s="195"/>
      <c r="I34" s="195">
        <v>28081.59</v>
      </c>
      <c r="J34" s="195"/>
      <c r="K34" s="195">
        <v>28081.59</v>
      </c>
      <c r="L34" s="195"/>
      <c r="M34" s="50">
        <f>K34/E34*100</f>
        <v>35.169261901860523</v>
      </c>
      <c r="N34" s="45">
        <f>K34/I34*100</f>
        <v>100</v>
      </c>
    </row>
    <row r="35" spans="1:14" s="74" customFormat="1" x14ac:dyDescent="0.25">
      <c r="A35" s="193" t="s">
        <v>218</v>
      </c>
      <c r="B35" s="193"/>
      <c r="C35" s="193"/>
      <c r="D35" s="193"/>
      <c r="E35" s="195">
        <v>28081.59</v>
      </c>
      <c r="F35" s="195"/>
      <c r="G35" s="195"/>
      <c r="H35" s="195"/>
      <c r="I35" s="195"/>
      <c r="J35" s="195"/>
      <c r="K35" s="195">
        <v>54932.639999999999</v>
      </c>
      <c r="L35" s="195"/>
      <c r="M35" s="50">
        <f t="shared" ref="M35" si="7">K35/E35*100</f>
        <v>195.6179831697564</v>
      </c>
      <c r="N35" s="45" t="e">
        <f>K35/I35*100</f>
        <v>#DIV/0!</v>
      </c>
    </row>
    <row r="36" spans="1:14" s="74" customFormat="1" x14ac:dyDescent="0.25">
      <c r="A36" s="183" t="s">
        <v>219</v>
      </c>
      <c r="B36" s="184"/>
      <c r="C36" s="184"/>
      <c r="D36" s="185"/>
      <c r="E36" s="179">
        <v>0</v>
      </c>
      <c r="F36" s="180"/>
      <c r="G36" s="179">
        <v>0</v>
      </c>
      <c r="H36" s="180"/>
      <c r="I36" s="179">
        <v>0</v>
      </c>
      <c r="J36" s="180"/>
      <c r="K36" s="179">
        <v>0</v>
      </c>
      <c r="L36" s="180"/>
      <c r="M36" s="49" t="e">
        <f t="shared" ref="M36:M37" si="8">K36/E36*100</f>
        <v>#DIV/0!</v>
      </c>
      <c r="N36" s="49" t="e">
        <f t="shared" ref="N36:N37" si="9">K36/I36*100</f>
        <v>#DIV/0!</v>
      </c>
    </row>
    <row r="37" spans="1:14" s="74" customFormat="1" x14ac:dyDescent="0.25">
      <c r="A37" s="183" t="s">
        <v>220</v>
      </c>
      <c r="B37" s="184"/>
      <c r="C37" s="184"/>
      <c r="D37" s="185"/>
      <c r="E37" s="179">
        <v>28081.59</v>
      </c>
      <c r="F37" s="180"/>
      <c r="G37" s="179">
        <v>0</v>
      </c>
      <c r="H37" s="180"/>
      <c r="I37" s="179">
        <v>0</v>
      </c>
      <c r="J37" s="180"/>
      <c r="K37" s="179">
        <f>K25</f>
        <v>54932.639999999665</v>
      </c>
      <c r="L37" s="180"/>
      <c r="M37" s="49">
        <f t="shared" si="8"/>
        <v>195.61798316975523</v>
      </c>
      <c r="N37" s="49" t="e">
        <f t="shared" si="9"/>
        <v>#DIV/0!</v>
      </c>
    </row>
    <row r="38" spans="1:14" s="74" customFormat="1" x14ac:dyDescent="0.25">
      <c r="A38" s="88"/>
      <c r="B38" s="88"/>
      <c r="C38" s="88"/>
      <c r="D38" s="88"/>
      <c r="E38" s="89"/>
      <c r="F38" s="89"/>
      <c r="G38" s="89"/>
      <c r="H38" s="89"/>
      <c r="I38" s="89"/>
      <c r="J38" s="89"/>
      <c r="K38" s="89"/>
      <c r="L38" s="89"/>
      <c r="M38" s="90"/>
      <c r="N38" s="90"/>
    </row>
    <row r="39" spans="1:14" s="74" customFormat="1" x14ac:dyDescent="0.25">
      <c r="A39" s="88"/>
      <c r="B39" s="88"/>
      <c r="C39" s="88"/>
      <c r="D39" s="88"/>
      <c r="E39" s="89"/>
      <c r="F39" s="89"/>
      <c r="G39" s="89"/>
      <c r="H39" s="89"/>
      <c r="I39" s="89"/>
      <c r="J39" s="89"/>
      <c r="K39" s="89"/>
      <c r="L39" s="89"/>
      <c r="M39" s="90"/>
      <c r="N39" s="90"/>
    </row>
    <row r="40" spans="1:14" s="74" customFormat="1" x14ac:dyDescent="0.25">
      <c r="A40" s="88"/>
      <c r="B40" s="88"/>
      <c r="C40" s="88"/>
      <c r="D40" s="88"/>
      <c r="E40" s="89"/>
      <c r="F40" s="89"/>
      <c r="G40" s="89"/>
      <c r="H40" s="89"/>
      <c r="I40" s="89"/>
      <c r="J40" s="89"/>
      <c r="K40" s="89"/>
      <c r="L40" s="89"/>
      <c r="M40" s="90"/>
      <c r="N40" s="90"/>
    </row>
    <row r="41" spans="1:14" s="74" customFormat="1" x14ac:dyDescent="0.25">
      <c r="A41" s="88"/>
      <c r="B41" s="88"/>
      <c r="C41" s="88"/>
      <c r="D41" s="88"/>
      <c r="E41" s="89"/>
      <c r="F41" s="89"/>
      <c r="G41" s="89"/>
      <c r="H41" s="89"/>
      <c r="I41" s="89"/>
      <c r="J41" s="89"/>
      <c r="K41" s="89"/>
      <c r="L41" s="89"/>
      <c r="M41" s="90"/>
      <c r="N41" s="90"/>
    </row>
    <row r="44" spans="1:14" ht="15" customHeight="1" x14ac:dyDescent="0.25"/>
    <row r="48" spans="1:14" ht="9.75" customHeight="1" x14ac:dyDescent="0.25"/>
  </sheetData>
  <customSheetViews>
    <customSheetView guid="{005C429F-8448-44DF-83AD-8A930973E873}" topLeftCell="A10">
      <selection activeCell="N35" sqref="N35"/>
      <pageMargins left="0.7" right="0.7" top="0.75" bottom="0.75" header="0.3" footer="0.3"/>
      <pageSetup paperSize="9" scale="92" orientation="portrait" r:id="rId1"/>
    </customSheetView>
  </customSheetViews>
  <mergeCells count="99">
    <mergeCell ref="G37:H37"/>
    <mergeCell ref="I37:J37"/>
    <mergeCell ref="K37:L37"/>
    <mergeCell ref="E36:F36"/>
    <mergeCell ref="G36:H36"/>
    <mergeCell ref="I36:J36"/>
    <mergeCell ref="K36:L36"/>
    <mergeCell ref="G34:H34"/>
    <mergeCell ref="I34:J34"/>
    <mergeCell ref="K34:L34"/>
    <mergeCell ref="E35:F35"/>
    <mergeCell ref="G35:H35"/>
    <mergeCell ref="I35:J35"/>
    <mergeCell ref="K35:L35"/>
    <mergeCell ref="A35:D35"/>
    <mergeCell ref="A34:D34"/>
    <mergeCell ref="A36:D36"/>
    <mergeCell ref="A37:D37"/>
    <mergeCell ref="E34:F34"/>
    <mergeCell ref="E37:F37"/>
    <mergeCell ref="A12:N12"/>
    <mergeCell ref="A9:N9"/>
    <mergeCell ref="A5:N7"/>
    <mergeCell ref="A11:N11"/>
    <mergeCell ref="A21:D21"/>
    <mergeCell ref="E21:F21"/>
    <mergeCell ref="G21:H21"/>
    <mergeCell ref="I21:J21"/>
    <mergeCell ref="K21:L21"/>
    <mergeCell ref="A15:D16"/>
    <mergeCell ref="E15:F16"/>
    <mergeCell ref="I15:J16"/>
    <mergeCell ref="K15:L16"/>
    <mergeCell ref="E17:F17"/>
    <mergeCell ref="I17:J17"/>
    <mergeCell ref="K17:L17"/>
    <mergeCell ref="K28:L29"/>
    <mergeCell ref="A25:D25"/>
    <mergeCell ref="E25:F25"/>
    <mergeCell ref="G25:H25"/>
    <mergeCell ref="G28:H29"/>
    <mergeCell ref="E28:F29"/>
    <mergeCell ref="I28:J29"/>
    <mergeCell ref="I25:J25"/>
    <mergeCell ref="A28:D29"/>
    <mergeCell ref="K31:L31"/>
    <mergeCell ref="K32:L32"/>
    <mergeCell ref="K33:L33"/>
    <mergeCell ref="E32:F32"/>
    <mergeCell ref="E33:F33"/>
    <mergeCell ref="G33:H33"/>
    <mergeCell ref="A31:D31"/>
    <mergeCell ref="A32:D32"/>
    <mergeCell ref="A33:D33"/>
    <mergeCell ref="E31:F31"/>
    <mergeCell ref="I31:J31"/>
    <mergeCell ref="I32:J32"/>
    <mergeCell ref="I33:J33"/>
    <mergeCell ref="G31:H31"/>
    <mergeCell ref="G32:H32"/>
    <mergeCell ref="K18:L18"/>
    <mergeCell ref="K19:L19"/>
    <mergeCell ref="A20:D20"/>
    <mergeCell ref="A22:D22"/>
    <mergeCell ref="A23:D23"/>
    <mergeCell ref="I18:J18"/>
    <mergeCell ref="I19:J19"/>
    <mergeCell ref="I20:J20"/>
    <mergeCell ref="A18:D18"/>
    <mergeCell ref="A19:D19"/>
    <mergeCell ref="E18:F18"/>
    <mergeCell ref="E19:F19"/>
    <mergeCell ref="K20:L20"/>
    <mergeCell ref="K22:L22"/>
    <mergeCell ref="K23:L23"/>
    <mergeCell ref="G20:H20"/>
    <mergeCell ref="A24:D24"/>
    <mergeCell ref="E20:F20"/>
    <mergeCell ref="E24:F24"/>
    <mergeCell ref="E22:F22"/>
    <mergeCell ref="E23:F23"/>
    <mergeCell ref="A30:D30"/>
    <mergeCell ref="E30:F30"/>
    <mergeCell ref="G30:H30"/>
    <mergeCell ref="I30:J30"/>
    <mergeCell ref="K30:L30"/>
    <mergeCell ref="G24:H24"/>
    <mergeCell ref="G22:H22"/>
    <mergeCell ref="G23:H23"/>
    <mergeCell ref="K25:L25"/>
    <mergeCell ref="I24:J24"/>
    <mergeCell ref="I22:J22"/>
    <mergeCell ref="I23:J23"/>
    <mergeCell ref="K24:L24"/>
    <mergeCell ref="A17:D17"/>
    <mergeCell ref="G15:H16"/>
    <mergeCell ref="G17:H17"/>
    <mergeCell ref="G18:H18"/>
    <mergeCell ref="G19:H19"/>
  </mergeCells>
  <pageMargins left="0.7" right="0.7" top="0.75" bottom="0.75" header="0.3" footer="0.3"/>
  <pageSetup paperSize="9" scale="64" orientation="portrait" verticalDpi="300" r:id="rId2"/>
  <ignoredErrors>
    <ignoredError sqref="M19:M20 M31:N33 M22:M23 M25 N25 N22:N23 N19:N20 M34:N3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2"/>
  <sheetViews>
    <sheetView topLeftCell="A70" zoomScale="120" zoomScaleNormal="120" workbookViewId="0">
      <selection activeCell="S41" sqref="S41:S52"/>
    </sheetView>
  </sheetViews>
  <sheetFormatPr defaultRowHeight="15" x14ac:dyDescent="0.25"/>
  <cols>
    <col min="1" max="4" width="5.7109375" style="74" customWidth="1"/>
    <col min="5" max="5" width="5.28515625" customWidth="1"/>
    <col min="6" max="8" width="8.85546875" customWidth="1"/>
    <col min="9" max="9" width="12" customWidth="1"/>
    <col min="10" max="10" width="12.28515625" customWidth="1"/>
    <col min="11" max="18" width="8.85546875" customWidth="1"/>
    <col min="19" max="19" width="7" bestFit="1" customWidth="1"/>
    <col min="20" max="22" width="8.85546875" customWidth="1"/>
    <col min="23" max="23" width="13.7109375" bestFit="1" customWidth="1"/>
    <col min="24" max="24" width="8.85546875" customWidth="1"/>
  </cols>
  <sheetData>
    <row r="1" spans="1:20" x14ac:dyDescent="0.25">
      <c r="A1" s="75" t="s">
        <v>222</v>
      </c>
      <c r="B1"/>
      <c r="C1"/>
      <c r="D1"/>
    </row>
    <row r="2" spans="1:20" x14ac:dyDescent="0.25">
      <c r="A2" s="74" t="s">
        <v>12</v>
      </c>
      <c r="B2"/>
      <c r="C2"/>
      <c r="D2"/>
    </row>
    <row r="3" spans="1:20" x14ac:dyDescent="0.25">
      <c r="A3" s="74" t="s">
        <v>223</v>
      </c>
      <c r="B3"/>
      <c r="C3"/>
      <c r="D3"/>
    </row>
    <row r="5" spans="1:20" x14ac:dyDescent="0.25">
      <c r="A5" s="207" t="s">
        <v>159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60"/>
    </row>
    <row r="6" spans="1:20" x14ac:dyDescent="0.25">
      <c r="A6" s="207" t="s">
        <v>161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60"/>
    </row>
    <row r="7" spans="1:20" x14ac:dyDescent="0.25">
      <c r="A7" s="207" t="s">
        <v>160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60"/>
    </row>
    <row r="8" spans="1:20" ht="15.75" thickBot="1" x14ac:dyDescent="0.3"/>
    <row r="9" spans="1:20" ht="15" customHeight="1" x14ac:dyDescent="0.25">
      <c r="A9" s="170" t="s">
        <v>16</v>
      </c>
      <c r="B9" s="303"/>
      <c r="C9" s="303"/>
      <c r="D9" s="303"/>
      <c r="E9" s="303"/>
      <c r="F9" s="303"/>
      <c r="G9" s="303"/>
      <c r="H9" s="303"/>
      <c r="I9" s="171"/>
      <c r="J9" s="170" t="s">
        <v>138</v>
      </c>
      <c r="K9" s="171"/>
      <c r="L9" s="170" t="s">
        <v>203</v>
      </c>
      <c r="M9" s="171"/>
      <c r="N9" s="170" t="s">
        <v>204</v>
      </c>
      <c r="O9" s="171"/>
      <c r="P9" s="170" t="s">
        <v>205</v>
      </c>
      <c r="Q9" s="171"/>
      <c r="R9" s="17" t="s">
        <v>38</v>
      </c>
      <c r="S9" s="17" t="s">
        <v>38</v>
      </c>
      <c r="T9" s="2"/>
    </row>
    <row r="10" spans="1:20" x14ac:dyDescent="0.25">
      <c r="A10" s="172"/>
      <c r="B10" s="304"/>
      <c r="C10" s="304"/>
      <c r="D10" s="304"/>
      <c r="E10" s="304"/>
      <c r="F10" s="304"/>
      <c r="G10" s="304"/>
      <c r="H10" s="304"/>
      <c r="I10" s="173"/>
      <c r="J10" s="172"/>
      <c r="K10" s="173"/>
      <c r="L10" s="172"/>
      <c r="M10" s="173"/>
      <c r="N10" s="172"/>
      <c r="O10" s="173"/>
      <c r="P10" s="172"/>
      <c r="Q10" s="173"/>
      <c r="R10" s="20" t="s">
        <v>134</v>
      </c>
      <c r="S10" s="18" t="s">
        <v>136</v>
      </c>
      <c r="T10" s="2"/>
    </row>
    <row r="11" spans="1:20" ht="15.75" thickBot="1" x14ac:dyDescent="0.3">
      <c r="A11" s="305">
        <v>1</v>
      </c>
      <c r="B11" s="306"/>
      <c r="C11" s="306"/>
      <c r="D11" s="306"/>
      <c r="E11" s="306"/>
      <c r="F11" s="306"/>
      <c r="G11" s="306"/>
      <c r="H11" s="306"/>
      <c r="I11" s="307"/>
      <c r="J11" s="305">
        <v>2</v>
      </c>
      <c r="K11" s="306"/>
      <c r="L11" s="305">
        <v>3</v>
      </c>
      <c r="M11" s="306"/>
      <c r="N11" s="305">
        <v>4</v>
      </c>
      <c r="O11" s="306"/>
      <c r="P11" s="305">
        <v>5</v>
      </c>
      <c r="Q11" s="306"/>
      <c r="R11" s="19">
        <v>6</v>
      </c>
      <c r="S11" s="19">
        <v>7</v>
      </c>
      <c r="T11" s="2"/>
    </row>
    <row r="12" spans="1:20" s="74" customFormat="1" x14ac:dyDescent="0.25">
      <c r="A12" s="308" t="s">
        <v>221</v>
      </c>
      <c r="B12" s="309"/>
      <c r="C12" s="309"/>
      <c r="D12" s="309"/>
      <c r="E12" s="309"/>
      <c r="F12" s="309"/>
      <c r="G12" s="309"/>
      <c r="H12" s="309"/>
      <c r="I12" s="310"/>
      <c r="J12" s="96"/>
      <c r="K12" s="97"/>
      <c r="L12" s="98"/>
      <c r="M12" s="97"/>
      <c r="N12" s="98"/>
      <c r="O12" s="97"/>
      <c r="P12" s="98"/>
      <c r="Q12" s="97"/>
      <c r="R12" s="99"/>
      <c r="S12" s="99"/>
      <c r="T12" s="2"/>
    </row>
    <row r="13" spans="1:20" x14ac:dyDescent="0.25">
      <c r="A13" s="108">
        <v>6</v>
      </c>
      <c r="B13" s="103"/>
      <c r="C13" s="103"/>
      <c r="D13" s="109"/>
      <c r="E13" s="325" t="s">
        <v>39</v>
      </c>
      <c r="F13" s="325"/>
      <c r="G13" s="325"/>
      <c r="H13" s="325"/>
      <c r="I13" s="326"/>
      <c r="J13" s="323">
        <f>J14+J30+J34+J41+J49</f>
        <v>1909487.56</v>
      </c>
      <c r="K13" s="324"/>
      <c r="L13" s="323">
        <f>L14+L30+L34+L41</f>
        <v>2220012.1699999995</v>
      </c>
      <c r="M13" s="324"/>
      <c r="N13" s="354">
        <f>N14+N30+N34+N41</f>
        <v>2334767.67</v>
      </c>
      <c r="O13" s="355"/>
      <c r="P13" s="350">
        <f>P14+P30+P34+P41</f>
        <v>2273844.3499999996</v>
      </c>
      <c r="Q13" s="350"/>
      <c r="R13" s="91">
        <f>(P13/J13)*100</f>
        <v>119.08139113511689</v>
      </c>
      <c r="S13" s="91">
        <f>P13/N13*100</f>
        <v>97.390604607780944</v>
      </c>
      <c r="T13" s="2"/>
    </row>
    <row r="14" spans="1:20" ht="15" customHeight="1" x14ac:dyDescent="0.25">
      <c r="A14" s="110"/>
      <c r="B14" s="104">
        <v>63</v>
      </c>
      <c r="C14" s="105"/>
      <c r="D14" s="111"/>
      <c r="E14" s="265" t="s">
        <v>17</v>
      </c>
      <c r="F14" s="265"/>
      <c r="G14" s="265"/>
      <c r="H14" s="265"/>
      <c r="I14" s="266"/>
      <c r="J14" s="284">
        <f>J16+J22+J24</f>
        <v>1699096.7299999997</v>
      </c>
      <c r="K14" s="285"/>
      <c r="L14" s="284">
        <f>+L16+L22+L24</f>
        <v>2074403.64</v>
      </c>
      <c r="M14" s="285"/>
      <c r="N14" s="296">
        <f t="shared" ref="N14" si="0">+N16+N22+N24</f>
        <v>2129291.65</v>
      </c>
      <c r="O14" s="297"/>
      <c r="P14" s="284">
        <f t="shared" ref="P14" si="1">+P16+P22+P24</f>
        <v>2083831.16</v>
      </c>
      <c r="Q14" s="285"/>
      <c r="R14" s="351">
        <f>P14/J14*100</f>
        <v>122.64346833272997</v>
      </c>
      <c r="S14" s="351">
        <f>P14/N14*100</f>
        <v>97.864994680273128</v>
      </c>
      <c r="T14" s="2"/>
    </row>
    <row r="15" spans="1:20" s="74" customFormat="1" ht="15" customHeight="1" x14ac:dyDescent="0.25">
      <c r="A15" s="112"/>
      <c r="B15" s="106"/>
      <c r="C15" s="107"/>
      <c r="D15" s="113"/>
      <c r="E15" s="265"/>
      <c r="F15" s="265"/>
      <c r="G15" s="265"/>
      <c r="H15" s="265"/>
      <c r="I15" s="266"/>
      <c r="J15" s="286"/>
      <c r="K15" s="287"/>
      <c r="L15" s="286"/>
      <c r="M15" s="287"/>
      <c r="N15" s="298"/>
      <c r="O15" s="299"/>
      <c r="P15" s="286"/>
      <c r="Q15" s="287"/>
      <c r="R15" s="352"/>
      <c r="S15" s="352"/>
      <c r="T15" s="2"/>
    </row>
    <row r="16" spans="1:20" ht="15" customHeight="1" x14ac:dyDescent="0.25">
      <c r="A16" s="110"/>
      <c r="B16" s="104"/>
      <c r="C16" s="105">
        <v>636</v>
      </c>
      <c r="D16" s="118"/>
      <c r="E16" s="267" t="s">
        <v>18</v>
      </c>
      <c r="F16" s="267"/>
      <c r="G16" s="267"/>
      <c r="H16" s="267"/>
      <c r="I16" s="268"/>
      <c r="J16" s="288">
        <f>SUM(J18:K21)</f>
        <v>1668374.0499999998</v>
      </c>
      <c r="K16" s="289"/>
      <c r="L16" s="288">
        <f t="shared" ref="L16" si="2">L18+L20</f>
        <v>2074403.64</v>
      </c>
      <c r="M16" s="289"/>
      <c r="N16" s="346">
        <f>2078040.75</f>
        <v>2078040.75</v>
      </c>
      <c r="O16" s="347"/>
      <c r="P16" s="288">
        <f>P18+P20</f>
        <v>2035571.9</v>
      </c>
      <c r="Q16" s="289"/>
      <c r="R16" s="269">
        <f>P16/J16*100</f>
        <v>122.00932398822675</v>
      </c>
      <c r="S16" s="269">
        <f>P16/N16*100</f>
        <v>97.956303311183859</v>
      </c>
      <c r="T16" s="2"/>
    </row>
    <row r="17" spans="1:23" x14ac:dyDescent="0.25">
      <c r="A17" s="112"/>
      <c r="B17" s="106"/>
      <c r="C17" s="107"/>
      <c r="D17" s="113"/>
      <c r="E17" s="267"/>
      <c r="F17" s="267"/>
      <c r="G17" s="267"/>
      <c r="H17" s="267"/>
      <c r="I17" s="268"/>
      <c r="J17" s="290">
        <v>0</v>
      </c>
      <c r="K17" s="291"/>
      <c r="L17" s="290"/>
      <c r="M17" s="291"/>
      <c r="N17" s="348"/>
      <c r="O17" s="349"/>
      <c r="P17" s="290"/>
      <c r="Q17" s="291"/>
      <c r="R17" s="269"/>
      <c r="S17" s="269"/>
      <c r="T17" s="2"/>
    </row>
    <row r="18" spans="1:23" x14ac:dyDescent="0.25">
      <c r="A18" s="110"/>
      <c r="B18" s="104"/>
      <c r="C18" s="105"/>
      <c r="D18" s="118">
        <v>6361</v>
      </c>
      <c r="E18" s="327" t="s">
        <v>19</v>
      </c>
      <c r="F18" s="327"/>
      <c r="G18" s="327"/>
      <c r="H18" s="327"/>
      <c r="I18" s="328"/>
      <c r="J18" s="322">
        <v>1666900.64</v>
      </c>
      <c r="K18" s="320"/>
      <c r="L18" s="322">
        <v>2073403.64</v>
      </c>
      <c r="M18" s="320"/>
      <c r="N18" s="270"/>
      <c r="O18" s="271"/>
      <c r="P18" s="322">
        <v>2034774.9</v>
      </c>
      <c r="Q18" s="320"/>
      <c r="R18" s="269">
        <f>P18/J18*100</f>
        <v>122.06935741532861</v>
      </c>
      <c r="S18" s="269" t="e">
        <f>P18/N18*100</f>
        <v>#DIV/0!</v>
      </c>
      <c r="T18" s="2"/>
    </row>
    <row r="19" spans="1:23" ht="15" customHeight="1" x14ac:dyDescent="0.25">
      <c r="A19" s="112"/>
      <c r="B19" s="106"/>
      <c r="C19" s="107"/>
      <c r="D19" s="113"/>
      <c r="E19" s="329"/>
      <c r="F19" s="329"/>
      <c r="G19" s="329"/>
      <c r="H19" s="329"/>
      <c r="I19" s="330"/>
      <c r="J19" s="294"/>
      <c r="K19" s="295"/>
      <c r="L19" s="294"/>
      <c r="M19" s="295"/>
      <c r="N19" s="344"/>
      <c r="O19" s="345"/>
      <c r="P19" s="294"/>
      <c r="Q19" s="295"/>
      <c r="R19" s="269"/>
      <c r="S19" s="269"/>
      <c r="T19" s="2"/>
      <c r="U19" s="25"/>
    </row>
    <row r="20" spans="1:23" x14ac:dyDescent="0.25">
      <c r="A20" s="110"/>
      <c r="B20" s="104"/>
      <c r="C20" s="105"/>
      <c r="D20" s="118">
        <v>6362</v>
      </c>
      <c r="E20" s="327" t="s">
        <v>20</v>
      </c>
      <c r="F20" s="327"/>
      <c r="G20" s="327"/>
      <c r="H20" s="327"/>
      <c r="I20" s="328"/>
      <c r="J20" s="322">
        <v>1473.41</v>
      </c>
      <c r="K20" s="320"/>
      <c r="L20" s="322">
        <v>1000</v>
      </c>
      <c r="M20" s="320"/>
      <c r="N20" s="270"/>
      <c r="O20" s="271"/>
      <c r="P20" s="322">
        <v>797</v>
      </c>
      <c r="Q20" s="320"/>
      <c r="R20" s="269">
        <f>P20/J20*100</f>
        <v>54.09220787153609</v>
      </c>
      <c r="S20" s="269" t="e">
        <f>P20/N20*100</f>
        <v>#DIV/0!</v>
      </c>
      <c r="T20" s="2"/>
      <c r="U20" s="25"/>
    </row>
    <row r="21" spans="1:23" ht="15" customHeight="1" x14ac:dyDescent="0.25">
      <c r="A21" s="112"/>
      <c r="B21" s="106"/>
      <c r="C21" s="107"/>
      <c r="D21" s="113"/>
      <c r="E21" s="329"/>
      <c r="F21" s="329"/>
      <c r="G21" s="329"/>
      <c r="H21" s="329"/>
      <c r="I21" s="330"/>
      <c r="J21" s="294"/>
      <c r="K21" s="295"/>
      <c r="L21" s="294"/>
      <c r="M21" s="295"/>
      <c r="N21" s="344"/>
      <c r="O21" s="345"/>
      <c r="P21" s="294"/>
      <c r="Q21" s="295"/>
      <c r="R21" s="269"/>
      <c r="S21" s="269"/>
      <c r="T21" s="2"/>
    </row>
    <row r="22" spans="1:23" x14ac:dyDescent="0.25">
      <c r="A22" s="112"/>
      <c r="B22" s="106"/>
      <c r="C22" s="107">
        <v>638</v>
      </c>
      <c r="D22" s="119"/>
      <c r="E22" s="4" t="s">
        <v>31</v>
      </c>
      <c r="F22" s="4"/>
      <c r="G22" s="4"/>
      <c r="H22" s="4"/>
      <c r="I22" s="11"/>
      <c r="J22" s="261">
        <f>SUM(J23)</f>
        <v>11003.4</v>
      </c>
      <c r="K22" s="262"/>
      <c r="L22" s="261">
        <f t="shared" ref="L22" si="3">L23</f>
        <v>0</v>
      </c>
      <c r="M22" s="262"/>
      <c r="N22" s="282">
        <v>51250.9</v>
      </c>
      <c r="O22" s="283"/>
      <c r="P22" s="261">
        <f t="shared" ref="P22" si="4">P23</f>
        <v>39384</v>
      </c>
      <c r="Q22" s="262"/>
      <c r="R22" s="92">
        <f>P22/J22*100</f>
        <v>357.92573204645839</v>
      </c>
      <c r="S22" s="92">
        <f>P22/N22*100</f>
        <v>76.84547978669643</v>
      </c>
      <c r="T22" s="2"/>
    </row>
    <row r="23" spans="1:23" x14ac:dyDescent="0.25">
      <c r="A23" s="112"/>
      <c r="B23" s="106"/>
      <c r="C23" s="107"/>
      <c r="D23" s="119">
        <v>6381</v>
      </c>
      <c r="E23" s="7" t="s">
        <v>31</v>
      </c>
      <c r="F23" s="7"/>
      <c r="G23" s="7"/>
      <c r="H23" s="7"/>
      <c r="I23" s="13"/>
      <c r="J23" s="276">
        <v>11003.4</v>
      </c>
      <c r="K23" s="277"/>
      <c r="L23" s="276">
        <v>0</v>
      </c>
      <c r="M23" s="277"/>
      <c r="N23" s="274"/>
      <c r="O23" s="275"/>
      <c r="P23" s="276">
        <v>39384</v>
      </c>
      <c r="Q23" s="277"/>
      <c r="R23" s="92">
        <f>P23/J23*100</f>
        <v>357.92573204645839</v>
      </c>
      <c r="S23" s="92" t="e">
        <f>P23/N23*100</f>
        <v>#DIV/0!</v>
      </c>
      <c r="T23" s="2"/>
    </row>
    <row r="24" spans="1:23" x14ac:dyDescent="0.25">
      <c r="A24" s="114"/>
      <c r="B24" s="115"/>
      <c r="C24" s="116">
        <v>639</v>
      </c>
      <c r="D24" s="117"/>
      <c r="E24" s="337" t="s">
        <v>129</v>
      </c>
      <c r="F24" s="337"/>
      <c r="G24" s="337"/>
      <c r="H24" s="337"/>
      <c r="I24" s="338"/>
      <c r="J24" s="288">
        <f>SUM(J26:K29)</f>
        <v>19719.28</v>
      </c>
      <c r="K24" s="289"/>
      <c r="L24" s="288">
        <f t="shared" ref="L24" si="5">SUM(L26:M29)</f>
        <v>0</v>
      </c>
      <c r="M24" s="289"/>
      <c r="N24" s="346">
        <f t="shared" ref="N24" si="6">SUM(N26:O29)</f>
        <v>0</v>
      </c>
      <c r="O24" s="347"/>
      <c r="P24" s="288">
        <f>P26+P28</f>
        <v>8875.26</v>
      </c>
      <c r="Q24" s="289"/>
      <c r="R24" s="269">
        <f>P24/J24*100</f>
        <v>45.008032747645963</v>
      </c>
      <c r="S24" s="356" t="e">
        <f>P24/N24*100</f>
        <v>#DIV/0!</v>
      </c>
      <c r="T24" s="2"/>
    </row>
    <row r="25" spans="1:23" x14ac:dyDescent="0.25">
      <c r="A25" s="112"/>
      <c r="B25" s="106"/>
      <c r="C25" s="107"/>
      <c r="D25" s="119"/>
      <c r="E25" s="339"/>
      <c r="F25" s="339"/>
      <c r="G25" s="339"/>
      <c r="H25" s="339"/>
      <c r="I25" s="340"/>
      <c r="J25" s="290"/>
      <c r="K25" s="291"/>
      <c r="L25" s="290"/>
      <c r="M25" s="291"/>
      <c r="N25" s="348"/>
      <c r="O25" s="349"/>
      <c r="P25" s="290"/>
      <c r="Q25" s="291"/>
      <c r="R25" s="269"/>
      <c r="S25" s="357"/>
      <c r="T25" s="2"/>
    </row>
    <row r="26" spans="1:23" x14ac:dyDescent="0.25">
      <c r="A26" s="110"/>
      <c r="B26" s="104"/>
      <c r="C26" s="105"/>
      <c r="D26" s="118">
        <v>6391</v>
      </c>
      <c r="E26" s="378" t="s">
        <v>131</v>
      </c>
      <c r="F26" s="378"/>
      <c r="G26" s="378"/>
      <c r="H26" s="378"/>
      <c r="I26" s="379"/>
      <c r="J26" s="322">
        <v>2231.5500000000002</v>
      </c>
      <c r="K26" s="320"/>
      <c r="L26" s="322">
        <v>0</v>
      </c>
      <c r="M26" s="320"/>
      <c r="N26" s="270"/>
      <c r="O26" s="271"/>
      <c r="P26" s="322">
        <v>1354.07</v>
      </c>
      <c r="Q26" s="320"/>
      <c r="R26" s="269">
        <f>P26/J26*100</f>
        <v>60.678452196903486</v>
      </c>
      <c r="S26" s="356" t="e">
        <f>P26/N26*100</f>
        <v>#DIV/0!</v>
      </c>
      <c r="T26" s="2"/>
    </row>
    <row r="27" spans="1:23" x14ac:dyDescent="0.25">
      <c r="A27" s="112"/>
      <c r="B27" s="106"/>
      <c r="C27" s="107"/>
      <c r="D27" s="113"/>
      <c r="E27" s="380"/>
      <c r="F27" s="380"/>
      <c r="G27" s="380"/>
      <c r="H27" s="380"/>
      <c r="I27" s="381"/>
      <c r="J27" s="294"/>
      <c r="K27" s="295"/>
      <c r="L27" s="294"/>
      <c r="M27" s="295"/>
      <c r="N27" s="344"/>
      <c r="O27" s="345"/>
      <c r="P27" s="294"/>
      <c r="Q27" s="295"/>
      <c r="R27" s="269"/>
      <c r="S27" s="357"/>
      <c r="T27" s="2"/>
      <c r="V27" s="25"/>
    </row>
    <row r="28" spans="1:23" x14ac:dyDescent="0.25">
      <c r="A28" s="110"/>
      <c r="B28" s="104"/>
      <c r="C28" s="105"/>
      <c r="D28" s="118">
        <v>6393</v>
      </c>
      <c r="E28" s="378" t="s">
        <v>130</v>
      </c>
      <c r="F28" s="378"/>
      <c r="G28" s="378"/>
      <c r="H28" s="378"/>
      <c r="I28" s="379"/>
      <c r="J28" s="322">
        <v>17487.73</v>
      </c>
      <c r="K28" s="320"/>
      <c r="L28" s="322">
        <v>0</v>
      </c>
      <c r="M28" s="320"/>
      <c r="N28" s="270"/>
      <c r="O28" s="271"/>
      <c r="P28" s="322">
        <v>7521.19</v>
      </c>
      <c r="Q28" s="320"/>
      <c r="R28" s="269">
        <f>P28/J28*100</f>
        <v>43.008383592381627</v>
      </c>
      <c r="S28" s="356" t="e">
        <f>P28/N28*100</f>
        <v>#DIV/0!</v>
      </c>
      <c r="T28" s="2"/>
    </row>
    <row r="29" spans="1:23" x14ac:dyDescent="0.25">
      <c r="A29" s="112"/>
      <c r="B29" s="106"/>
      <c r="C29" s="107"/>
      <c r="D29" s="113"/>
      <c r="E29" s="380"/>
      <c r="F29" s="380"/>
      <c r="G29" s="380"/>
      <c r="H29" s="380"/>
      <c r="I29" s="381"/>
      <c r="J29" s="294"/>
      <c r="K29" s="295"/>
      <c r="L29" s="294"/>
      <c r="M29" s="295"/>
      <c r="N29" s="344"/>
      <c r="O29" s="345"/>
      <c r="P29" s="294"/>
      <c r="Q29" s="295"/>
      <c r="R29" s="269"/>
      <c r="S29" s="357"/>
      <c r="T29" s="2"/>
    </row>
    <row r="30" spans="1:23" x14ac:dyDescent="0.25">
      <c r="A30" s="110"/>
      <c r="B30" s="104">
        <v>65</v>
      </c>
      <c r="C30" s="105"/>
      <c r="D30" s="118"/>
      <c r="E30" s="265" t="s">
        <v>21</v>
      </c>
      <c r="F30" s="265"/>
      <c r="G30" s="265"/>
      <c r="H30" s="265"/>
      <c r="I30" s="266"/>
      <c r="J30" s="284">
        <f t="shared" ref="J30" si="7">J32</f>
        <v>4380.51</v>
      </c>
      <c r="K30" s="285"/>
      <c r="L30" s="284">
        <f>L32</f>
        <v>2900</v>
      </c>
      <c r="M30" s="285"/>
      <c r="N30" s="296">
        <f>N32</f>
        <v>2900</v>
      </c>
      <c r="O30" s="297"/>
      <c r="P30" s="284">
        <f>P32</f>
        <v>1379.57</v>
      </c>
      <c r="Q30" s="285"/>
      <c r="R30" s="353">
        <f>P30/J30*100</f>
        <v>31.493364927828033</v>
      </c>
      <c r="S30" s="353">
        <f>P30/N30*100</f>
        <v>47.571379310344824</v>
      </c>
      <c r="T30" s="2"/>
    </row>
    <row r="31" spans="1:23" x14ac:dyDescent="0.25">
      <c r="A31" s="112"/>
      <c r="B31" s="106"/>
      <c r="C31" s="107"/>
      <c r="D31" s="113"/>
      <c r="E31" s="265"/>
      <c r="F31" s="265"/>
      <c r="G31" s="265"/>
      <c r="H31" s="265"/>
      <c r="I31" s="266"/>
      <c r="J31" s="286"/>
      <c r="K31" s="287"/>
      <c r="L31" s="286"/>
      <c r="M31" s="287"/>
      <c r="N31" s="298"/>
      <c r="O31" s="299"/>
      <c r="P31" s="286"/>
      <c r="Q31" s="287"/>
      <c r="R31" s="353"/>
      <c r="S31" s="353"/>
      <c r="T31" s="2"/>
      <c r="W31" s="74"/>
    </row>
    <row r="32" spans="1:23" x14ac:dyDescent="0.25">
      <c r="A32" s="114"/>
      <c r="B32" s="115"/>
      <c r="C32" s="116">
        <v>652</v>
      </c>
      <c r="D32" s="117"/>
      <c r="E32" s="341" t="s">
        <v>22</v>
      </c>
      <c r="F32" s="342"/>
      <c r="G32" s="342"/>
      <c r="H32" s="342"/>
      <c r="I32" s="343"/>
      <c r="J32" s="261">
        <v>4380.51</v>
      </c>
      <c r="K32" s="262"/>
      <c r="L32" s="261">
        <f t="shared" ref="L32" si="8">L33</f>
        <v>2900</v>
      </c>
      <c r="M32" s="262"/>
      <c r="N32" s="282">
        <v>2900</v>
      </c>
      <c r="O32" s="283"/>
      <c r="P32" s="261">
        <f t="shared" ref="P32" si="9">P33</f>
        <v>1379.57</v>
      </c>
      <c r="Q32" s="262"/>
      <c r="R32" s="92">
        <f>P32/J32*100</f>
        <v>31.493364927828033</v>
      </c>
      <c r="S32" s="92">
        <f>P32/N32*100</f>
        <v>47.571379310344824</v>
      </c>
      <c r="T32" s="2"/>
      <c r="W32" s="74"/>
    </row>
    <row r="33" spans="1:23" x14ac:dyDescent="0.25">
      <c r="A33" s="114"/>
      <c r="B33" s="115"/>
      <c r="C33" s="116"/>
      <c r="D33" s="117">
        <v>6526</v>
      </c>
      <c r="E33" s="256" t="s">
        <v>23</v>
      </c>
      <c r="F33" s="239"/>
      <c r="G33" s="239"/>
      <c r="H33" s="239"/>
      <c r="I33" s="240"/>
      <c r="J33" s="276">
        <v>1051.6500000000001</v>
      </c>
      <c r="K33" s="277"/>
      <c r="L33" s="276">
        <v>2900</v>
      </c>
      <c r="M33" s="277"/>
      <c r="N33" s="274"/>
      <c r="O33" s="275"/>
      <c r="P33" s="276">
        <v>1379.57</v>
      </c>
      <c r="Q33" s="277"/>
      <c r="R33" s="92">
        <f>P33/J33*100</f>
        <v>131.18147672704796</v>
      </c>
      <c r="S33" s="92" t="e">
        <f>P33/N33*100</f>
        <v>#DIV/0!</v>
      </c>
      <c r="T33" s="2"/>
      <c r="V33" s="25"/>
      <c r="W33" s="74"/>
    </row>
    <row r="34" spans="1:23" x14ac:dyDescent="0.25">
      <c r="A34" s="110"/>
      <c r="B34" s="104">
        <v>66</v>
      </c>
      <c r="C34" s="105"/>
      <c r="D34" s="118"/>
      <c r="E34" s="265" t="s">
        <v>32</v>
      </c>
      <c r="F34" s="265"/>
      <c r="G34" s="265"/>
      <c r="H34" s="265"/>
      <c r="I34" s="266"/>
      <c r="J34" s="284">
        <f t="shared" ref="J34" si="10">J36+J38</f>
        <v>19246.61</v>
      </c>
      <c r="K34" s="285"/>
      <c r="L34" s="284">
        <f t="shared" ref="L34:N34" si="11">L36+L38</f>
        <v>23600</v>
      </c>
      <c r="M34" s="285"/>
      <c r="N34" s="296">
        <f t="shared" si="11"/>
        <v>25100</v>
      </c>
      <c r="O34" s="297"/>
      <c r="P34" s="284">
        <f t="shared" ref="P34" si="12">P36+P38</f>
        <v>21759.279999999999</v>
      </c>
      <c r="Q34" s="285"/>
      <c r="R34" s="353">
        <f>P34/J34*100</f>
        <v>113.05513022812848</v>
      </c>
      <c r="S34" s="353">
        <f>P34/N34*100</f>
        <v>86.690358565737043</v>
      </c>
      <c r="T34" s="2"/>
      <c r="W34" s="74"/>
    </row>
    <row r="35" spans="1:23" x14ac:dyDescent="0.25">
      <c r="A35" s="112"/>
      <c r="B35" s="106"/>
      <c r="C35" s="107"/>
      <c r="D35" s="113"/>
      <c r="E35" s="265"/>
      <c r="F35" s="265"/>
      <c r="G35" s="265"/>
      <c r="H35" s="265"/>
      <c r="I35" s="266"/>
      <c r="J35" s="286"/>
      <c r="K35" s="287"/>
      <c r="L35" s="286"/>
      <c r="M35" s="287"/>
      <c r="N35" s="298"/>
      <c r="O35" s="299"/>
      <c r="P35" s="286"/>
      <c r="Q35" s="287"/>
      <c r="R35" s="353"/>
      <c r="S35" s="353"/>
      <c r="T35" s="2"/>
      <c r="V35" s="25"/>
      <c r="W35" s="74"/>
    </row>
    <row r="36" spans="1:23" x14ac:dyDescent="0.25">
      <c r="A36" s="112"/>
      <c r="B36" s="106"/>
      <c r="C36" s="107">
        <v>661</v>
      </c>
      <c r="D36" s="119"/>
      <c r="E36" s="4" t="s">
        <v>24</v>
      </c>
      <c r="F36" s="4"/>
      <c r="G36" s="4"/>
      <c r="H36" s="4"/>
      <c r="I36" s="11"/>
      <c r="J36" s="284">
        <f>J37+J39</f>
        <v>15051.59</v>
      </c>
      <c r="K36" s="285"/>
      <c r="L36" s="261">
        <f t="shared" ref="L36" si="13">L37</f>
        <v>16600</v>
      </c>
      <c r="M36" s="262"/>
      <c r="N36" s="282">
        <v>18100</v>
      </c>
      <c r="O36" s="283"/>
      <c r="P36" s="261">
        <f t="shared" ref="P36" si="14">P37</f>
        <v>14919.28</v>
      </c>
      <c r="Q36" s="262"/>
      <c r="R36" s="92">
        <f>P36/J36*100</f>
        <v>99.120956656406406</v>
      </c>
      <c r="S36" s="92">
        <f>P36/N36*100</f>
        <v>82.426961325966857</v>
      </c>
      <c r="T36" s="2"/>
      <c r="W36" s="74"/>
    </row>
    <row r="37" spans="1:23" x14ac:dyDescent="0.25">
      <c r="A37" s="114"/>
      <c r="B37" s="115"/>
      <c r="C37" s="116"/>
      <c r="D37" s="117">
        <v>6615</v>
      </c>
      <c r="E37" s="256" t="s">
        <v>25</v>
      </c>
      <c r="F37" s="239"/>
      <c r="G37" s="239"/>
      <c r="H37" s="239"/>
      <c r="I37" s="240"/>
      <c r="J37" s="261">
        <v>15051.59</v>
      </c>
      <c r="K37" s="262"/>
      <c r="L37" s="276">
        <v>16600</v>
      </c>
      <c r="M37" s="277"/>
      <c r="N37" s="274"/>
      <c r="O37" s="275"/>
      <c r="P37" s="276">
        <v>14919.28</v>
      </c>
      <c r="Q37" s="277"/>
      <c r="R37" s="92" t="e">
        <f>P37/#REF!*100</f>
        <v>#REF!</v>
      </c>
      <c r="S37" s="92" t="e">
        <f>P37/N37*100</f>
        <v>#DIV/0!</v>
      </c>
      <c r="T37" s="2"/>
      <c r="V37" s="25"/>
      <c r="W37" s="74"/>
    </row>
    <row r="38" spans="1:23" x14ac:dyDescent="0.25">
      <c r="A38" s="110"/>
      <c r="B38" s="104"/>
      <c r="C38" s="105">
        <v>663</v>
      </c>
      <c r="D38" s="118"/>
      <c r="E38" s="267" t="s">
        <v>33</v>
      </c>
      <c r="F38" s="267"/>
      <c r="G38" s="267"/>
      <c r="H38" s="267"/>
      <c r="I38" s="268"/>
      <c r="J38" s="322">
        <v>4195.0200000000004</v>
      </c>
      <c r="K38" s="320"/>
      <c r="L38" s="284">
        <f t="shared" ref="L38" si="15">L40</f>
        <v>7000</v>
      </c>
      <c r="M38" s="285"/>
      <c r="N38" s="296">
        <v>7000</v>
      </c>
      <c r="O38" s="297"/>
      <c r="P38" s="284">
        <f t="shared" ref="P38" si="16">P40</f>
        <v>6840</v>
      </c>
      <c r="Q38" s="285"/>
      <c r="R38" s="269">
        <f>P38/J37*100</f>
        <v>45.443703954200188</v>
      </c>
      <c r="S38" s="269">
        <f>P38/N38*100</f>
        <v>97.714285714285708</v>
      </c>
      <c r="T38" s="2"/>
    </row>
    <row r="39" spans="1:23" x14ac:dyDescent="0.25">
      <c r="A39" s="112"/>
      <c r="B39" s="106"/>
      <c r="C39" s="107"/>
      <c r="D39" s="113"/>
      <c r="E39" s="267"/>
      <c r="F39" s="267"/>
      <c r="G39" s="267"/>
      <c r="H39" s="267"/>
      <c r="I39" s="268"/>
      <c r="J39" s="294"/>
      <c r="K39" s="295"/>
      <c r="L39" s="286"/>
      <c r="M39" s="287"/>
      <c r="N39" s="298"/>
      <c r="O39" s="299"/>
      <c r="P39" s="286"/>
      <c r="Q39" s="287"/>
      <c r="R39" s="269"/>
      <c r="S39" s="269"/>
      <c r="T39" s="2"/>
    </row>
    <row r="40" spans="1:23" x14ac:dyDescent="0.25">
      <c r="A40" s="112"/>
      <c r="B40" s="106"/>
      <c r="C40" s="107"/>
      <c r="D40" s="119">
        <v>6631</v>
      </c>
      <c r="E40" s="256" t="s">
        <v>26</v>
      </c>
      <c r="F40" s="239"/>
      <c r="G40" s="239"/>
      <c r="H40" s="239"/>
      <c r="I40" s="240"/>
      <c r="J40" s="286">
        <v>4195.0200000000004</v>
      </c>
      <c r="K40" s="287"/>
      <c r="L40" s="276">
        <v>7000</v>
      </c>
      <c r="M40" s="277"/>
      <c r="N40" s="274"/>
      <c r="O40" s="275"/>
      <c r="P40" s="276">
        <v>6840</v>
      </c>
      <c r="Q40" s="277"/>
      <c r="R40" s="92" t="e">
        <f>P40/J39*100</f>
        <v>#DIV/0!</v>
      </c>
      <c r="S40" s="92" t="e">
        <f>P40/N40*100</f>
        <v>#DIV/0!</v>
      </c>
      <c r="T40" s="2"/>
    </row>
    <row r="41" spans="1:23" x14ac:dyDescent="0.25">
      <c r="A41" s="110"/>
      <c r="B41" s="104">
        <v>67</v>
      </c>
      <c r="C41" s="105"/>
      <c r="D41" s="118"/>
      <c r="E41" s="265" t="s">
        <v>27</v>
      </c>
      <c r="F41" s="265"/>
      <c r="G41" s="265"/>
      <c r="H41" s="265"/>
      <c r="I41" s="266"/>
      <c r="J41" s="284">
        <f>J43</f>
        <v>186710.63</v>
      </c>
      <c r="K41" s="285"/>
      <c r="L41" s="284">
        <f t="shared" ref="L41:N41" si="17">L43</f>
        <v>119108.53</v>
      </c>
      <c r="M41" s="285"/>
      <c r="N41" s="296">
        <f t="shared" si="17"/>
        <v>177476.02</v>
      </c>
      <c r="O41" s="297"/>
      <c r="P41" s="284">
        <f t="shared" ref="P41" si="18">P43</f>
        <v>166874.34</v>
      </c>
      <c r="Q41" s="285"/>
      <c r="R41" s="351">
        <f>P41/J41*100</f>
        <v>89.375918232400579</v>
      </c>
      <c r="S41" s="353">
        <f>P41/N41*100</f>
        <v>94.026415512360501</v>
      </c>
      <c r="T41" s="2"/>
      <c r="V41" s="25"/>
    </row>
    <row r="42" spans="1:23" x14ac:dyDescent="0.25">
      <c r="A42" s="112"/>
      <c r="B42" s="106"/>
      <c r="C42" s="107"/>
      <c r="D42" s="119"/>
      <c r="E42" s="265"/>
      <c r="F42" s="265"/>
      <c r="G42" s="265"/>
      <c r="H42" s="265"/>
      <c r="I42" s="266"/>
      <c r="J42" s="286"/>
      <c r="K42" s="287"/>
      <c r="L42" s="286"/>
      <c r="M42" s="287"/>
      <c r="N42" s="298"/>
      <c r="O42" s="299"/>
      <c r="P42" s="286"/>
      <c r="Q42" s="287"/>
      <c r="R42" s="352"/>
      <c r="S42" s="353"/>
      <c r="T42" s="2"/>
    </row>
    <row r="43" spans="1:23" ht="15" customHeight="1" x14ac:dyDescent="0.25">
      <c r="A43" s="110"/>
      <c r="B43" s="104"/>
      <c r="C43" s="105">
        <v>671</v>
      </c>
      <c r="D43" s="118"/>
      <c r="E43" s="331" t="s">
        <v>28</v>
      </c>
      <c r="F43" s="332"/>
      <c r="G43" s="332"/>
      <c r="H43" s="332"/>
      <c r="I43" s="332"/>
      <c r="J43" s="288">
        <f t="shared" ref="J43" si="19">J45+J47</f>
        <v>186710.63</v>
      </c>
      <c r="K43" s="289"/>
      <c r="L43" s="317">
        <f t="shared" ref="L43" si="20">L45+L47</f>
        <v>119108.53</v>
      </c>
      <c r="M43" s="289"/>
      <c r="N43" s="346">
        <f>23539.94+9492.89+8148.64+136294.55</f>
        <v>177476.02</v>
      </c>
      <c r="O43" s="347"/>
      <c r="P43" s="288">
        <f>P45+P47</f>
        <v>166874.34</v>
      </c>
      <c r="Q43" s="289"/>
      <c r="R43" s="351">
        <f t="shared" ref="R43" si="21">P43/J43*100</f>
        <v>89.375918232400579</v>
      </c>
      <c r="S43" s="353">
        <f t="shared" ref="S43" si="22">P43/N43*100</f>
        <v>94.026415512360501</v>
      </c>
      <c r="T43" s="2"/>
      <c r="V43" s="25"/>
    </row>
    <row r="44" spans="1:23" ht="15" customHeight="1" x14ac:dyDescent="0.25">
      <c r="A44" s="112"/>
      <c r="B44" s="106"/>
      <c r="C44" s="107"/>
      <c r="D44" s="119"/>
      <c r="E44" s="333"/>
      <c r="F44" s="334"/>
      <c r="G44" s="334"/>
      <c r="H44" s="334"/>
      <c r="I44" s="334"/>
      <c r="J44" s="290"/>
      <c r="K44" s="291"/>
      <c r="L44" s="318"/>
      <c r="M44" s="291"/>
      <c r="N44" s="348"/>
      <c r="O44" s="349"/>
      <c r="P44" s="290"/>
      <c r="Q44" s="291"/>
      <c r="R44" s="352"/>
      <c r="S44" s="353"/>
      <c r="T44" s="2"/>
    </row>
    <row r="45" spans="1:23" ht="15" customHeight="1" x14ac:dyDescent="0.25">
      <c r="A45" s="110"/>
      <c r="B45" s="104"/>
      <c r="C45" s="105"/>
      <c r="D45" s="118">
        <v>6711</v>
      </c>
      <c r="E45" s="335" t="s">
        <v>29</v>
      </c>
      <c r="F45" s="327"/>
      <c r="G45" s="327"/>
      <c r="H45" s="327"/>
      <c r="I45" s="327"/>
      <c r="J45" s="292">
        <v>154408.88</v>
      </c>
      <c r="K45" s="293"/>
      <c r="L45" s="319">
        <v>119108.53</v>
      </c>
      <c r="M45" s="320"/>
      <c r="N45" s="270"/>
      <c r="O45" s="271"/>
      <c r="P45" s="322">
        <v>163499.34</v>
      </c>
      <c r="Q45" s="320"/>
      <c r="R45" s="351">
        <f t="shared" ref="R45" si="23">P45/J45*100</f>
        <v>105.8872650329437</v>
      </c>
      <c r="S45" s="353" t="e">
        <f t="shared" ref="S45" si="24">P45/N45*100</f>
        <v>#DIV/0!</v>
      </c>
      <c r="T45" s="2"/>
      <c r="V45" s="25"/>
    </row>
    <row r="46" spans="1:23" x14ac:dyDescent="0.25">
      <c r="A46" s="112"/>
      <c r="B46" s="106"/>
      <c r="C46" s="107"/>
      <c r="D46" s="119"/>
      <c r="E46" s="336"/>
      <c r="F46" s="329"/>
      <c r="G46" s="329"/>
      <c r="H46" s="329"/>
      <c r="I46" s="329"/>
      <c r="J46" s="294"/>
      <c r="K46" s="295"/>
      <c r="L46" s="321"/>
      <c r="M46" s="295"/>
      <c r="N46" s="344"/>
      <c r="O46" s="345"/>
      <c r="P46" s="294"/>
      <c r="Q46" s="295"/>
      <c r="R46" s="352"/>
      <c r="S46" s="353"/>
      <c r="T46" s="2"/>
    </row>
    <row r="47" spans="1:23" x14ac:dyDescent="0.25">
      <c r="A47" s="110"/>
      <c r="B47" s="104"/>
      <c r="C47" s="105"/>
      <c r="D47" s="118">
        <v>6712</v>
      </c>
      <c r="E47" s="263" t="s">
        <v>34</v>
      </c>
      <c r="F47" s="263"/>
      <c r="G47" s="263"/>
      <c r="H47" s="263"/>
      <c r="I47" s="264"/>
      <c r="J47" s="292">
        <v>32301.75</v>
      </c>
      <c r="K47" s="293"/>
      <c r="L47" s="322">
        <v>0</v>
      </c>
      <c r="M47" s="320"/>
      <c r="N47" s="270"/>
      <c r="O47" s="271"/>
      <c r="P47" s="322">
        <v>3375</v>
      </c>
      <c r="Q47" s="320"/>
      <c r="R47" s="351">
        <f t="shared" ref="R47" si="25">P47/J47*100</f>
        <v>10.448350321577005</v>
      </c>
      <c r="S47" s="353" t="e">
        <f t="shared" ref="S47" si="26">P47/N47*100</f>
        <v>#DIV/0!</v>
      </c>
      <c r="T47" s="2"/>
      <c r="V47" s="25"/>
    </row>
    <row r="48" spans="1:23" s="74" customFormat="1" x14ac:dyDescent="0.25">
      <c r="A48" s="112"/>
      <c r="B48" s="106"/>
      <c r="C48" s="107"/>
      <c r="D48" s="119"/>
      <c r="E48" s="263"/>
      <c r="F48" s="263"/>
      <c r="G48" s="263"/>
      <c r="H48" s="263"/>
      <c r="I48" s="264"/>
      <c r="J48" s="294"/>
      <c r="K48" s="295"/>
      <c r="L48" s="294"/>
      <c r="M48" s="295"/>
      <c r="N48" s="344"/>
      <c r="O48" s="345"/>
      <c r="P48" s="294"/>
      <c r="Q48" s="295"/>
      <c r="R48" s="352"/>
      <c r="S48" s="353"/>
      <c r="T48" s="2"/>
    </row>
    <row r="49" spans="1:23" s="74" customFormat="1" x14ac:dyDescent="0.25">
      <c r="A49" s="110"/>
      <c r="B49" s="104">
        <v>68</v>
      </c>
      <c r="C49" s="105"/>
      <c r="D49" s="118"/>
      <c r="E49" s="265" t="s">
        <v>224</v>
      </c>
      <c r="F49" s="265"/>
      <c r="G49" s="265"/>
      <c r="H49" s="265"/>
      <c r="I49" s="266"/>
      <c r="J49" s="284">
        <f>SUM(J51)</f>
        <v>53.08</v>
      </c>
      <c r="K49" s="285"/>
      <c r="L49" s="284">
        <f t="shared" ref="L49" si="27">SUM(L51)</f>
        <v>0</v>
      </c>
      <c r="M49" s="285"/>
      <c r="N49" s="296">
        <f t="shared" ref="N49" si="28">SUM(N51)</f>
        <v>0</v>
      </c>
      <c r="O49" s="297"/>
      <c r="P49" s="284">
        <f t="shared" ref="P49" si="29">SUM(P51)</f>
        <v>0</v>
      </c>
      <c r="Q49" s="285"/>
      <c r="R49" s="351">
        <f t="shared" ref="R49" si="30">P49/J49*100</f>
        <v>0</v>
      </c>
      <c r="S49" s="353" t="e">
        <f t="shared" ref="S49" si="31">P49/N49*100</f>
        <v>#DIV/0!</v>
      </c>
      <c r="T49" s="2"/>
    </row>
    <row r="50" spans="1:23" s="74" customFormat="1" x14ac:dyDescent="0.25">
      <c r="A50" s="112"/>
      <c r="B50" s="106"/>
      <c r="C50" s="107"/>
      <c r="D50" s="119"/>
      <c r="E50" s="265"/>
      <c r="F50" s="265"/>
      <c r="G50" s="265"/>
      <c r="H50" s="265"/>
      <c r="I50" s="266"/>
      <c r="J50" s="364"/>
      <c r="K50" s="365"/>
      <c r="L50" s="286"/>
      <c r="M50" s="287"/>
      <c r="N50" s="298"/>
      <c r="O50" s="299"/>
      <c r="P50" s="286"/>
      <c r="Q50" s="287"/>
      <c r="R50" s="352"/>
      <c r="S50" s="353"/>
      <c r="T50" s="2"/>
    </row>
    <row r="51" spans="1:23" s="74" customFormat="1" x14ac:dyDescent="0.25">
      <c r="A51" s="110"/>
      <c r="B51" s="104"/>
      <c r="C51" s="105">
        <v>683</v>
      </c>
      <c r="D51" s="118"/>
      <c r="E51" s="267" t="s">
        <v>225</v>
      </c>
      <c r="F51" s="267"/>
      <c r="G51" s="267"/>
      <c r="H51" s="267"/>
      <c r="I51" s="267"/>
      <c r="J51" s="288">
        <v>53.08</v>
      </c>
      <c r="K51" s="289"/>
      <c r="L51" s="317"/>
      <c r="M51" s="289"/>
      <c r="N51" s="346"/>
      <c r="O51" s="347"/>
      <c r="P51" s="288">
        <v>0</v>
      </c>
      <c r="Q51" s="289"/>
      <c r="R51" s="351">
        <f t="shared" ref="R51" si="32">P51/J51*100</f>
        <v>0</v>
      </c>
      <c r="S51" s="353" t="e">
        <f t="shared" ref="S51" si="33">P51/N51*100</f>
        <v>#DIV/0!</v>
      </c>
      <c r="T51" s="2"/>
    </row>
    <row r="52" spans="1:23" s="74" customFormat="1" x14ac:dyDescent="0.25">
      <c r="A52" s="112"/>
      <c r="B52" s="106"/>
      <c r="C52" s="107"/>
      <c r="D52" s="119"/>
      <c r="E52" s="267"/>
      <c r="F52" s="267"/>
      <c r="G52" s="267"/>
      <c r="H52" s="267"/>
      <c r="I52" s="267"/>
      <c r="J52" s="290"/>
      <c r="K52" s="291"/>
      <c r="L52" s="318"/>
      <c r="M52" s="291"/>
      <c r="N52" s="348"/>
      <c r="O52" s="349"/>
      <c r="P52" s="290"/>
      <c r="Q52" s="291"/>
      <c r="R52" s="352"/>
      <c r="S52" s="353"/>
      <c r="T52" s="2"/>
    </row>
    <row r="53" spans="1:23" s="74" customFormat="1" ht="15.75" customHeight="1" x14ac:dyDescent="0.25">
      <c r="A53" s="127">
        <v>7</v>
      </c>
      <c r="B53" s="121"/>
      <c r="C53" s="121"/>
      <c r="D53" s="122"/>
      <c r="E53" s="6" t="s">
        <v>226</v>
      </c>
      <c r="F53" s="6"/>
      <c r="G53" s="6"/>
      <c r="H53" s="6"/>
      <c r="I53" s="14"/>
      <c r="J53" s="257">
        <f>SUM(J54)</f>
        <v>0</v>
      </c>
      <c r="K53" s="258"/>
      <c r="L53" s="257">
        <f>L54</f>
        <v>2500</v>
      </c>
      <c r="M53" s="258"/>
      <c r="N53" s="278">
        <f t="shared" ref="N53" si="34">N54</f>
        <v>2500</v>
      </c>
      <c r="O53" s="279"/>
      <c r="P53" s="257">
        <f t="shared" ref="P53" si="35">P54</f>
        <v>0</v>
      </c>
      <c r="Q53" s="258"/>
      <c r="R53" s="93" t="e">
        <f>P53/J53*100</f>
        <v>#DIV/0!</v>
      </c>
      <c r="S53" s="93">
        <f>P53/N53*100</f>
        <v>0</v>
      </c>
      <c r="T53" s="2"/>
    </row>
    <row r="54" spans="1:23" s="74" customFormat="1" ht="15" customHeight="1" x14ac:dyDescent="0.25">
      <c r="A54" s="112"/>
      <c r="B54" s="106">
        <v>72</v>
      </c>
      <c r="C54" s="107"/>
      <c r="D54" s="119"/>
      <c r="E54" s="5" t="s">
        <v>227</v>
      </c>
      <c r="F54" s="5"/>
      <c r="G54" s="5"/>
      <c r="H54" s="5"/>
      <c r="I54" s="16"/>
      <c r="J54" s="259">
        <f>J55</f>
        <v>0</v>
      </c>
      <c r="K54" s="260"/>
      <c r="L54" s="259">
        <f>L55</f>
        <v>2500</v>
      </c>
      <c r="M54" s="260"/>
      <c r="N54" s="280">
        <f>N55</f>
        <v>2500</v>
      </c>
      <c r="O54" s="281"/>
      <c r="P54" s="259">
        <f>P55</f>
        <v>0</v>
      </c>
      <c r="Q54" s="260"/>
      <c r="R54" s="137" t="e">
        <f>P54/J54*100</f>
        <v>#DIV/0!</v>
      </c>
      <c r="S54" s="137">
        <f>P54/N54*100</f>
        <v>0</v>
      </c>
      <c r="T54" s="2"/>
    </row>
    <row r="55" spans="1:23" s="74" customFormat="1" x14ac:dyDescent="0.25">
      <c r="A55" s="112"/>
      <c r="B55" s="106"/>
      <c r="C55" s="107">
        <v>721</v>
      </c>
      <c r="D55" s="119"/>
      <c r="E55" s="4" t="s">
        <v>228</v>
      </c>
      <c r="F55" s="4"/>
      <c r="G55" s="4"/>
      <c r="H55" s="4"/>
      <c r="I55" s="11"/>
      <c r="J55" s="261">
        <f>J56</f>
        <v>0</v>
      </c>
      <c r="K55" s="262"/>
      <c r="L55" s="261">
        <f>L56</f>
        <v>2500</v>
      </c>
      <c r="M55" s="262"/>
      <c r="N55" s="282">
        <f>N56</f>
        <v>2500</v>
      </c>
      <c r="O55" s="283"/>
      <c r="P55" s="261">
        <f>P56</f>
        <v>0</v>
      </c>
      <c r="Q55" s="262"/>
      <c r="R55" s="138" t="e">
        <f t="shared" ref="R55:R56" si="36">P55/J55*100</f>
        <v>#DIV/0!</v>
      </c>
      <c r="S55" s="138">
        <f t="shared" ref="S55:S56" si="37">P55/N55*100</f>
        <v>0</v>
      </c>
      <c r="T55" s="2"/>
    </row>
    <row r="56" spans="1:23" s="74" customFormat="1" ht="15.75" thickBot="1" x14ac:dyDescent="0.3">
      <c r="A56" s="129"/>
      <c r="B56" s="115"/>
      <c r="C56" s="116"/>
      <c r="D56" s="117">
        <v>7211</v>
      </c>
      <c r="E56" s="8" t="s">
        <v>36</v>
      </c>
      <c r="F56" s="8"/>
      <c r="G56" s="8"/>
      <c r="H56" s="8"/>
      <c r="I56" s="23"/>
      <c r="J56" s="261">
        <v>0</v>
      </c>
      <c r="K56" s="262"/>
      <c r="L56" s="261">
        <v>2500</v>
      </c>
      <c r="M56" s="262"/>
      <c r="N56" s="270">
        <v>2500</v>
      </c>
      <c r="O56" s="271"/>
      <c r="P56" s="272"/>
      <c r="Q56" s="273"/>
      <c r="R56" s="139" t="e">
        <f t="shared" si="36"/>
        <v>#DIV/0!</v>
      </c>
      <c r="S56" s="139">
        <f t="shared" si="37"/>
        <v>0</v>
      </c>
      <c r="T56" s="2"/>
    </row>
    <row r="57" spans="1:23" s="74" customFormat="1" x14ac:dyDescent="0.25">
      <c r="A57" s="127">
        <v>9</v>
      </c>
      <c r="B57" s="121"/>
      <c r="C57" s="121"/>
      <c r="D57" s="122"/>
      <c r="E57" s="6" t="s">
        <v>30</v>
      </c>
      <c r="F57" s="6"/>
      <c r="G57" s="6"/>
      <c r="H57" s="6"/>
      <c r="I57" s="14"/>
      <c r="J57" s="257">
        <f>J58</f>
        <v>79846.97</v>
      </c>
      <c r="K57" s="258"/>
      <c r="L57" s="257">
        <f>L58</f>
        <v>28081.59</v>
      </c>
      <c r="M57" s="258"/>
      <c r="N57" s="278">
        <f t="shared" ref="N57" si="38">N58</f>
        <v>28081.59</v>
      </c>
      <c r="O57" s="279"/>
      <c r="P57" s="257">
        <f t="shared" ref="P57" si="39">P58</f>
        <v>28081.59</v>
      </c>
      <c r="Q57" s="258"/>
      <c r="R57" s="93">
        <f>P57/J57*100</f>
        <v>35.169261901860523</v>
      </c>
      <c r="S57" s="93">
        <f>P57/N57*100</f>
        <v>100</v>
      </c>
      <c r="T57" s="2"/>
      <c r="U57"/>
      <c r="V57"/>
      <c r="W57"/>
    </row>
    <row r="58" spans="1:23" s="74" customFormat="1" x14ac:dyDescent="0.25">
      <c r="A58" s="112"/>
      <c r="B58" s="106">
        <v>92</v>
      </c>
      <c r="C58" s="107"/>
      <c r="D58" s="119"/>
      <c r="E58" s="5" t="s">
        <v>35</v>
      </c>
      <c r="F58" s="5"/>
      <c r="G58" s="5"/>
      <c r="H58" s="5"/>
      <c r="I58" s="16"/>
      <c r="J58" s="235">
        <f>SUM(J59)</f>
        <v>79846.97</v>
      </c>
      <c r="K58" s="236"/>
      <c r="L58" s="259">
        <f>L59</f>
        <v>28081.59</v>
      </c>
      <c r="M58" s="260"/>
      <c r="N58" s="280">
        <f>N59</f>
        <v>28081.59</v>
      </c>
      <c r="O58" s="281"/>
      <c r="P58" s="259">
        <f>P59</f>
        <v>28081.59</v>
      </c>
      <c r="Q58" s="260"/>
      <c r="R58" s="137">
        <f>P58/J58*100</f>
        <v>35.169261901860523</v>
      </c>
      <c r="S58" s="137">
        <f>P58/N58*100</f>
        <v>100</v>
      </c>
      <c r="T58" s="2"/>
      <c r="U58"/>
      <c r="V58"/>
      <c r="W58"/>
    </row>
    <row r="59" spans="1:23" s="74" customFormat="1" x14ac:dyDescent="0.25">
      <c r="A59" s="112"/>
      <c r="B59" s="106"/>
      <c r="C59" s="107">
        <v>922</v>
      </c>
      <c r="D59" s="119"/>
      <c r="E59" s="4" t="s">
        <v>37</v>
      </c>
      <c r="F59" s="4"/>
      <c r="G59" s="4"/>
      <c r="H59" s="4"/>
      <c r="I59" s="11"/>
      <c r="J59" s="217">
        <f>SUM(J60)</f>
        <v>79846.97</v>
      </c>
      <c r="K59" s="218"/>
      <c r="L59" s="261">
        <f>L60</f>
        <v>28081.59</v>
      </c>
      <c r="M59" s="262"/>
      <c r="N59" s="282">
        <f>N60</f>
        <v>28081.59</v>
      </c>
      <c r="O59" s="283"/>
      <c r="P59" s="261">
        <f>P60</f>
        <v>28081.59</v>
      </c>
      <c r="Q59" s="262"/>
      <c r="R59" s="138">
        <f>P59/J59*100</f>
        <v>35.169261901860523</v>
      </c>
      <c r="S59" s="138">
        <f>P59/N59*100</f>
        <v>100</v>
      </c>
      <c r="T59" s="2"/>
      <c r="U59"/>
      <c r="V59"/>
      <c r="W59"/>
    </row>
    <row r="60" spans="1:23" ht="15.75" thickBot="1" x14ac:dyDescent="0.3">
      <c r="A60" s="129"/>
      <c r="B60" s="115"/>
      <c r="C60" s="116"/>
      <c r="D60" s="117">
        <v>9221</v>
      </c>
      <c r="E60" s="8" t="s">
        <v>36</v>
      </c>
      <c r="F60" s="8"/>
      <c r="G60" s="8"/>
      <c r="H60" s="8"/>
      <c r="I60" s="23"/>
      <c r="J60" s="215">
        <v>79846.97</v>
      </c>
      <c r="K60" s="216"/>
      <c r="L60" s="215">
        <v>28081.59</v>
      </c>
      <c r="M60" s="216"/>
      <c r="N60" s="223">
        <v>28081.59</v>
      </c>
      <c r="O60" s="237"/>
      <c r="P60" s="215">
        <v>28081.59</v>
      </c>
      <c r="Q60" s="216"/>
      <c r="R60" s="94">
        <f t="shared" ref="R60" si="40">P60/J60*100</f>
        <v>35.169261901860523</v>
      </c>
      <c r="S60" s="94">
        <f t="shared" ref="S60" si="41">P60/N60*100</f>
        <v>100</v>
      </c>
      <c r="T60" s="2"/>
    </row>
    <row r="61" spans="1:23" ht="15.75" thickBot="1" x14ac:dyDescent="0.3">
      <c r="A61" s="311" t="s">
        <v>147</v>
      </c>
      <c r="B61" s="312"/>
      <c r="C61" s="312"/>
      <c r="D61" s="312"/>
      <c r="E61" s="312"/>
      <c r="F61" s="312"/>
      <c r="G61" s="312"/>
      <c r="H61" s="312"/>
      <c r="I61" s="313"/>
      <c r="J61" s="255">
        <f>J57+J53+J13</f>
        <v>1989334.53</v>
      </c>
      <c r="K61" s="255"/>
      <c r="L61" s="255">
        <f>L57+L13+L53</f>
        <v>2250593.7599999993</v>
      </c>
      <c r="M61" s="255"/>
      <c r="N61" s="255">
        <f>N57+N13+N53</f>
        <v>2365349.2599999998</v>
      </c>
      <c r="O61" s="255"/>
      <c r="P61" s="255">
        <f>P57+P13</f>
        <v>2301925.9399999995</v>
      </c>
      <c r="Q61" s="255"/>
      <c r="R61" s="95">
        <f>P61/J61*100</f>
        <v>115.71336571531785</v>
      </c>
      <c r="S61" s="95">
        <f>P61/N61*100</f>
        <v>97.318648832435002</v>
      </c>
      <c r="T61" s="2"/>
    </row>
    <row r="62" spans="1:23" ht="15.75" thickBot="1" x14ac:dyDescent="0.3">
      <c r="A62" s="75"/>
      <c r="B62" s="75"/>
      <c r="J62" s="74"/>
      <c r="K62" s="74"/>
      <c r="L62" s="25"/>
      <c r="M62" s="25"/>
      <c r="N62" s="25"/>
      <c r="O62" s="25"/>
      <c r="P62" s="25"/>
      <c r="Q62" s="25"/>
      <c r="R62" s="25"/>
      <c r="S62" s="32"/>
      <c r="T62" s="25"/>
    </row>
    <row r="63" spans="1:23" x14ac:dyDescent="0.25">
      <c r="A63" s="123">
        <v>3</v>
      </c>
      <c r="B63" s="120"/>
      <c r="C63" s="120"/>
      <c r="D63" s="124"/>
      <c r="E63" s="358" t="s">
        <v>40</v>
      </c>
      <c r="F63" s="358"/>
      <c r="G63" s="358"/>
      <c r="H63" s="358"/>
      <c r="I63" s="359"/>
      <c r="J63" s="360">
        <f>J64+J72+J104+J107+J112</f>
        <v>1927969.5299999998</v>
      </c>
      <c r="K63" s="361"/>
      <c r="L63" s="360">
        <f>L64+L72+L104+L107+L112</f>
        <v>2244093.7599999998</v>
      </c>
      <c r="M63" s="361"/>
      <c r="N63" s="362">
        <f>N64+N72+N104+N107+N112</f>
        <v>2353912.2399999998</v>
      </c>
      <c r="O63" s="363"/>
      <c r="P63" s="360">
        <f t="shared" ref="P63" si="42">P64+P72+P104+P107+P112</f>
        <v>2242054.08</v>
      </c>
      <c r="Q63" s="361"/>
      <c r="R63" s="100">
        <f>(P63/J63)*100</f>
        <v>116.29094988861159</v>
      </c>
      <c r="S63" s="100">
        <f>P63/N63*100</f>
        <v>95.247989364293389</v>
      </c>
    </row>
    <row r="64" spans="1:23" x14ac:dyDescent="0.25">
      <c r="A64" s="112"/>
      <c r="B64" s="106">
        <v>31</v>
      </c>
      <c r="C64" s="107"/>
      <c r="D64" s="125"/>
      <c r="E64" s="5" t="s">
        <v>42</v>
      </c>
      <c r="F64" s="5"/>
      <c r="G64" s="5"/>
      <c r="H64" s="5"/>
      <c r="I64" s="16"/>
      <c r="J64" s="235">
        <f>SUM(J65+J68+J70)</f>
        <v>1690531.9</v>
      </c>
      <c r="K64" s="236"/>
      <c r="L64" s="235">
        <f>L65+L68+L70</f>
        <v>2067412.01</v>
      </c>
      <c r="M64" s="254"/>
      <c r="N64" s="370">
        <f>N65+N68+N70</f>
        <v>2107016.92</v>
      </c>
      <c r="O64" s="371"/>
      <c r="P64" s="235">
        <f>P65+P68+P70</f>
        <v>2057406.8000000003</v>
      </c>
      <c r="Q64" s="254"/>
      <c r="R64" s="101">
        <f>P64/J64*100</f>
        <v>121.70174369380433</v>
      </c>
      <c r="S64" s="101">
        <f>P64/N64*100</f>
        <v>97.645480701692719</v>
      </c>
      <c r="T64" s="2"/>
    </row>
    <row r="65" spans="1:20" ht="15" customHeight="1" x14ac:dyDescent="0.25">
      <c r="A65" s="112"/>
      <c r="B65" s="106"/>
      <c r="C65" s="107">
        <v>311</v>
      </c>
      <c r="D65" s="125"/>
      <c r="E65" s="4" t="s">
        <v>43</v>
      </c>
      <c r="F65" s="4"/>
      <c r="G65" s="4"/>
      <c r="H65" s="4"/>
      <c r="I65" s="11"/>
      <c r="J65" s="217">
        <f>SUM(J66:K67)</f>
        <v>1407695.0599999998</v>
      </c>
      <c r="K65" s="218"/>
      <c r="L65" s="217">
        <f>L66+L67</f>
        <v>1727412.01</v>
      </c>
      <c r="M65" s="219"/>
      <c r="N65" s="220">
        <f>1700000+15000+12412.01+31940.28</f>
        <v>1759352.29</v>
      </c>
      <c r="O65" s="221"/>
      <c r="P65" s="217">
        <f t="shared" ref="P65" si="43">P66</f>
        <v>1704781.62</v>
      </c>
      <c r="Q65" s="219"/>
      <c r="R65" s="102">
        <f>P65/J65*100</f>
        <v>121.10446846350375</v>
      </c>
      <c r="S65" s="102">
        <f t="shared" ref="S65:S71" si="44">P65/N65*100</f>
        <v>96.898252253958759</v>
      </c>
      <c r="T65" s="2"/>
    </row>
    <row r="66" spans="1:20" x14ac:dyDescent="0.25">
      <c r="A66" s="112"/>
      <c r="B66" s="106"/>
      <c r="C66" s="107"/>
      <c r="D66" s="125">
        <v>3111</v>
      </c>
      <c r="E66" s="7" t="s">
        <v>44</v>
      </c>
      <c r="F66" s="7"/>
      <c r="G66" s="4"/>
      <c r="H66" s="4"/>
      <c r="I66" s="11"/>
      <c r="J66" s="215">
        <v>1399444.43</v>
      </c>
      <c r="K66" s="216"/>
      <c r="L66" s="215">
        <f>1727412.01-10000</f>
        <v>1717412.01</v>
      </c>
      <c r="M66" s="222"/>
      <c r="N66" s="223"/>
      <c r="O66" s="224"/>
      <c r="P66" s="215">
        <v>1704781.62</v>
      </c>
      <c r="Q66" s="222"/>
      <c r="R66" s="102">
        <f t="shared" ref="R66:R95" si="45">P66/J66*100</f>
        <v>121.81845762893208</v>
      </c>
      <c r="S66" s="102" t="e">
        <f t="shared" si="44"/>
        <v>#DIV/0!</v>
      </c>
      <c r="T66" s="2"/>
    </row>
    <row r="67" spans="1:20" s="74" customFormat="1" x14ac:dyDescent="0.25">
      <c r="A67" s="112"/>
      <c r="B67" s="106"/>
      <c r="C67" s="107"/>
      <c r="D67" s="125">
        <v>3113</v>
      </c>
      <c r="E67" s="238" t="s">
        <v>229</v>
      </c>
      <c r="F67" s="239"/>
      <c r="G67" s="239"/>
      <c r="H67" s="239"/>
      <c r="I67" s="240"/>
      <c r="J67" s="215">
        <v>8250.6299999999992</v>
      </c>
      <c r="K67" s="216"/>
      <c r="L67" s="215">
        <v>10000</v>
      </c>
      <c r="M67" s="222"/>
      <c r="N67" s="223"/>
      <c r="O67" s="224"/>
      <c r="P67" s="215">
        <v>8655.56</v>
      </c>
      <c r="Q67" s="222"/>
      <c r="R67" s="102">
        <f t="shared" si="45"/>
        <v>104.90786764162252</v>
      </c>
      <c r="S67" s="102" t="e">
        <f t="shared" si="44"/>
        <v>#DIV/0!</v>
      </c>
      <c r="T67" s="2"/>
    </row>
    <row r="68" spans="1:20" x14ac:dyDescent="0.25">
      <c r="A68" s="112"/>
      <c r="B68" s="106"/>
      <c r="C68" s="107">
        <v>312</v>
      </c>
      <c r="D68" s="125"/>
      <c r="E68" s="4" t="s">
        <v>45</v>
      </c>
      <c r="F68" s="4"/>
      <c r="G68" s="4"/>
      <c r="H68" s="4"/>
      <c r="I68" s="11"/>
      <c r="J68" s="217">
        <f t="shared" ref="J68" si="46">J69</f>
        <v>58680.71</v>
      </c>
      <c r="K68" s="218"/>
      <c r="L68" s="217">
        <f t="shared" ref="L68" si="47">L69</f>
        <v>60000</v>
      </c>
      <c r="M68" s="219"/>
      <c r="N68" s="220">
        <f>1900+60000</f>
        <v>61900</v>
      </c>
      <c r="O68" s="221"/>
      <c r="P68" s="217">
        <f t="shared" ref="P68" si="48">P69</f>
        <v>73802.37</v>
      </c>
      <c r="Q68" s="219"/>
      <c r="R68" s="102">
        <f t="shared" si="45"/>
        <v>125.76938827086448</v>
      </c>
      <c r="S68" s="102">
        <f t="shared" si="44"/>
        <v>119.2283844911147</v>
      </c>
      <c r="T68" s="2"/>
    </row>
    <row r="69" spans="1:20" x14ac:dyDescent="0.25">
      <c r="A69" s="112"/>
      <c r="B69" s="106"/>
      <c r="C69" s="107"/>
      <c r="D69" s="125">
        <v>3121</v>
      </c>
      <c r="E69" s="7" t="s">
        <v>45</v>
      </c>
      <c r="F69" s="7"/>
      <c r="G69" s="7"/>
      <c r="H69" s="4"/>
      <c r="I69" s="11"/>
      <c r="J69" s="217">
        <v>58680.71</v>
      </c>
      <c r="K69" s="219"/>
      <c r="L69" s="215">
        <v>60000</v>
      </c>
      <c r="M69" s="222"/>
      <c r="N69" s="223"/>
      <c r="O69" s="224"/>
      <c r="P69" s="215">
        <v>73802.37</v>
      </c>
      <c r="Q69" s="222"/>
      <c r="R69" s="102">
        <f t="shared" si="45"/>
        <v>125.76938827086448</v>
      </c>
      <c r="S69" s="102" t="e">
        <f t="shared" si="44"/>
        <v>#DIV/0!</v>
      </c>
      <c r="T69" s="2"/>
    </row>
    <row r="70" spans="1:20" x14ac:dyDescent="0.25">
      <c r="A70" s="112"/>
      <c r="B70" s="106"/>
      <c r="C70" s="107">
        <v>313</v>
      </c>
      <c r="D70" s="125"/>
      <c r="E70" s="4" t="s">
        <v>46</v>
      </c>
      <c r="F70" s="4"/>
      <c r="G70" s="4"/>
      <c r="H70" s="4"/>
      <c r="I70" s="11"/>
      <c r="J70" s="215">
        <f>SUM(J71)</f>
        <v>224156.13</v>
      </c>
      <c r="K70" s="222"/>
      <c r="L70" s="217">
        <f>SUM(L71)</f>
        <v>280000</v>
      </c>
      <c r="M70" s="219"/>
      <c r="N70" s="220">
        <f>280000+5764.63</f>
        <v>285764.63</v>
      </c>
      <c r="O70" s="221"/>
      <c r="P70" s="217">
        <f>SUM(P71)</f>
        <v>278822.81</v>
      </c>
      <c r="Q70" s="219"/>
      <c r="R70" s="102">
        <f t="shared" si="45"/>
        <v>124.3877693641481</v>
      </c>
      <c r="S70" s="102">
        <f t="shared" si="44"/>
        <v>97.570791038765009</v>
      </c>
      <c r="T70" s="2"/>
    </row>
    <row r="71" spans="1:20" x14ac:dyDescent="0.25">
      <c r="A71" s="112"/>
      <c r="B71" s="106"/>
      <c r="C71" s="107"/>
      <c r="D71" s="125">
        <v>3132</v>
      </c>
      <c r="E71" s="7" t="s">
        <v>47</v>
      </c>
      <c r="F71" s="7"/>
      <c r="G71" s="7"/>
      <c r="H71" s="7"/>
      <c r="I71" s="13"/>
      <c r="J71" s="217">
        <v>224156.13</v>
      </c>
      <c r="K71" s="219"/>
      <c r="L71" s="215">
        <v>280000</v>
      </c>
      <c r="M71" s="216"/>
      <c r="N71" s="223"/>
      <c r="O71" s="237"/>
      <c r="P71" s="215">
        <v>278822.81</v>
      </c>
      <c r="Q71" s="222"/>
      <c r="R71" s="102">
        <f t="shared" si="45"/>
        <v>124.3877693641481</v>
      </c>
      <c r="S71" s="102" t="e">
        <f t="shared" si="44"/>
        <v>#DIV/0!</v>
      </c>
      <c r="T71" s="2"/>
    </row>
    <row r="72" spans="1:20" x14ac:dyDescent="0.25">
      <c r="A72" s="112"/>
      <c r="B72" s="106">
        <v>32</v>
      </c>
      <c r="C72" s="107"/>
      <c r="D72" s="125"/>
      <c r="E72" s="5" t="s">
        <v>48</v>
      </c>
      <c r="F72" s="5"/>
      <c r="G72" s="5"/>
      <c r="H72" s="5"/>
      <c r="I72" s="16"/>
      <c r="J72" s="235">
        <f t="shared" ref="J72" si="49">J73+J78+J85+J95</f>
        <v>226171.11</v>
      </c>
      <c r="K72" s="254"/>
      <c r="L72" s="235">
        <f>L73+L78+L85+L95</f>
        <v>172681.75</v>
      </c>
      <c r="M72" s="254"/>
      <c r="N72" s="370">
        <f>N73+N78+N85+N95</f>
        <v>231329.32</v>
      </c>
      <c r="O72" s="371"/>
      <c r="P72" s="235">
        <f t="shared" ref="P72" si="50">P73+P78+P85+P95</f>
        <v>181036</v>
      </c>
      <c r="Q72" s="254"/>
      <c r="R72" s="101">
        <f>P72/J72*100</f>
        <v>80.043821688808976</v>
      </c>
      <c r="S72" s="101">
        <f>P72/N72*100</f>
        <v>78.258994579675417</v>
      </c>
      <c r="T72" s="2"/>
    </row>
    <row r="73" spans="1:20" x14ac:dyDescent="0.25">
      <c r="A73" s="112"/>
      <c r="B73" s="106"/>
      <c r="C73" s="107">
        <v>321</v>
      </c>
      <c r="D73" s="125"/>
      <c r="E73" s="4" t="s">
        <v>49</v>
      </c>
      <c r="F73" s="4"/>
      <c r="G73" s="4"/>
      <c r="H73" s="4"/>
      <c r="I73" s="11"/>
      <c r="J73" s="235">
        <f>SUM(J74:K77)</f>
        <v>49541.969999999994</v>
      </c>
      <c r="K73" s="254"/>
      <c r="L73" s="217">
        <f>L74+L75+L76+L77</f>
        <v>50800</v>
      </c>
      <c r="M73" s="219"/>
      <c r="N73" s="220">
        <f>10542.33+32169.62+150+1281.4+8000+855.41+10000</f>
        <v>62998.76</v>
      </c>
      <c r="O73" s="221"/>
      <c r="P73" s="217">
        <f t="shared" ref="P73" si="51">P74+P75+P76+P77</f>
        <v>53269.71</v>
      </c>
      <c r="Q73" s="219"/>
      <c r="R73" s="102">
        <f>P73/J73*100</f>
        <v>107.52440809277468</v>
      </c>
      <c r="S73" s="102">
        <f t="shared" ref="S73:S95" si="52">P73/N73*100</f>
        <v>84.556759529870106</v>
      </c>
      <c r="T73" s="2"/>
    </row>
    <row r="74" spans="1:20" x14ac:dyDescent="0.25">
      <c r="A74" s="112"/>
      <c r="B74" s="106"/>
      <c r="C74" s="107"/>
      <c r="D74" s="125">
        <v>3211</v>
      </c>
      <c r="E74" s="7" t="s">
        <v>50</v>
      </c>
      <c r="F74" s="7"/>
      <c r="G74" s="7"/>
      <c r="H74" s="7"/>
      <c r="I74" s="13"/>
      <c r="J74" s="235">
        <v>13882.77</v>
      </c>
      <c r="K74" s="254"/>
      <c r="L74" s="215">
        <v>16000</v>
      </c>
      <c r="M74" s="222"/>
      <c r="N74" s="223"/>
      <c r="O74" s="224"/>
      <c r="P74" s="215">
        <v>18960.63</v>
      </c>
      <c r="Q74" s="222"/>
      <c r="R74" s="102">
        <f>P74/J74*100</f>
        <v>136.57670623369833</v>
      </c>
      <c r="S74" s="102" t="e">
        <f t="shared" si="52"/>
        <v>#DIV/0!</v>
      </c>
      <c r="T74" s="2"/>
    </row>
    <row r="75" spans="1:20" x14ac:dyDescent="0.25">
      <c r="A75" s="112"/>
      <c r="B75" s="106"/>
      <c r="C75" s="107"/>
      <c r="D75" s="125">
        <v>3212</v>
      </c>
      <c r="E75" s="7" t="s">
        <v>51</v>
      </c>
      <c r="F75" s="7"/>
      <c r="G75" s="7"/>
      <c r="H75" s="7"/>
      <c r="I75" s="13"/>
      <c r="J75" s="235">
        <v>33281.49</v>
      </c>
      <c r="K75" s="254"/>
      <c r="L75" s="215">
        <v>33000</v>
      </c>
      <c r="M75" s="222"/>
      <c r="N75" s="223"/>
      <c r="O75" s="224"/>
      <c r="P75" s="215">
        <v>32940.68</v>
      </c>
      <c r="Q75" s="222"/>
      <c r="R75" s="102">
        <f t="shared" si="45"/>
        <v>98.975977337553104</v>
      </c>
      <c r="S75" s="102" t="e">
        <f t="shared" si="52"/>
        <v>#DIV/0!</v>
      </c>
      <c r="T75" s="2"/>
    </row>
    <row r="76" spans="1:20" x14ac:dyDescent="0.25">
      <c r="A76" s="112"/>
      <c r="B76" s="106"/>
      <c r="C76" s="107"/>
      <c r="D76" s="125">
        <v>3213</v>
      </c>
      <c r="E76" s="7" t="s">
        <v>52</v>
      </c>
      <c r="F76" s="7"/>
      <c r="G76" s="7"/>
      <c r="H76" s="7"/>
      <c r="I76" s="13"/>
      <c r="J76" s="235">
        <v>1179.75</v>
      </c>
      <c r="K76" s="254"/>
      <c r="L76" s="215">
        <v>1000</v>
      </c>
      <c r="M76" s="222"/>
      <c r="N76" s="223"/>
      <c r="O76" s="224"/>
      <c r="P76" s="215">
        <v>150</v>
      </c>
      <c r="Q76" s="222"/>
      <c r="R76" s="102">
        <f t="shared" si="45"/>
        <v>12.714558169103624</v>
      </c>
      <c r="S76" s="102" t="e">
        <f t="shared" si="52"/>
        <v>#DIV/0!</v>
      </c>
      <c r="T76" s="2"/>
    </row>
    <row r="77" spans="1:20" x14ac:dyDescent="0.25">
      <c r="A77" s="112"/>
      <c r="B77" s="106"/>
      <c r="C77" s="107"/>
      <c r="D77" s="125">
        <v>3214</v>
      </c>
      <c r="E77" s="7" t="s">
        <v>82</v>
      </c>
      <c r="F77" s="7"/>
      <c r="G77" s="7"/>
      <c r="H77" s="7"/>
      <c r="I77" s="13"/>
      <c r="J77" s="235">
        <v>1197.96</v>
      </c>
      <c r="K77" s="254"/>
      <c r="L77" s="215">
        <v>800</v>
      </c>
      <c r="M77" s="222"/>
      <c r="N77" s="223"/>
      <c r="O77" s="224"/>
      <c r="P77" s="215">
        <v>1218.4000000000001</v>
      </c>
      <c r="Q77" s="222"/>
      <c r="R77" s="102">
        <f t="shared" si="45"/>
        <v>101.70623393101606</v>
      </c>
      <c r="S77" s="102" t="e">
        <f t="shared" si="52"/>
        <v>#DIV/0!</v>
      </c>
      <c r="T77" s="2"/>
    </row>
    <row r="78" spans="1:20" x14ac:dyDescent="0.25">
      <c r="A78" s="112"/>
      <c r="B78" s="106"/>
      <c r="C78" s="107">
        <v>322</v>
      </c>
      <c r="D78" s="125"/>
      <c r="E78" s="4" t="s">
        <v>53</v>
      </c>
      <c r="F78" s="4"/>
      <c r="G78" s="4"/>
      <c r="H78" s="4"/>
      <c r="I78" s="11"/>
      <c r="J78" s="215">
        <f>SUM(J79:K84)</f>
        <v>50076.930000000008</v>
      </c>
      <c r="K78" s="222"/>
      <c r="L78" s="217">
        <f t="shared" ref="L78" si="53">L79+L80+L81+L82+L83+L84</f>
        <v>50300.65</v>
      </c>
      <c r="M78" s="219"/>
      <c r="N78" s="220">
        <f>16572.17+2216.01+25042.81+1453.34+868.11+800.06+500+3500+2000+1000</f>
        <v>53952.5</v>
      </c>
      <c r="O78" s="221"/>
      <c r="P78" s="217">
        <f t="shared" ref="P78" si="54">P79+P80+P81+P82+P83+P84</f>
        <v>48003.599999999991</v>
      </c>
      <c r="Q78" s="219"/>
      <c r="R78" s="102">
        <f t="shared" si="45"/>
        <v>95.859710249809609</v>
      </c>
      <c r="S78" s="102">
        <f t="shared" si="52"/>
        <v>88.973819563504918</v>
      </c>
      <c r="T78" s="2"/>
    </row>
    <row r="79" spans="1:20" x14ac:dyDescent="0.25">
      <c r="A79" s="112"/>
      <c r="B79" s="106"/>
      <c r="C79" s="107"/>
      <c r="D79" s="125">
        <v>3221</v>
      </c>
      <c r="E79" s="7" t="s">
        <v>54</v>
      </c>
      <c r="F79" s="7"/>
      <c r="G79" s="7"/>
      <c r="H79" s="7"/>
      <c r="I79" s="13"/>
      <c r="J79" s="215">
        <v>15717.42</v>
      </c>
      <c r="K79" s="216"/>
      <c r="L79" s="215">
        <f>13080.65+500+3500</f>
        <v>17080.650000000001</v>
      </c>
      <c r="M79" s="222"/>
      <c r="N79" s="223"/>
      <c r="O79" s="224"/>
      <c r="P79" s="215">
        <v>17568.75</v>
      </c>
      <c r="Q79" s="222"/>
      <c r="R79" s="102">
        <f t="shared" si="45"/>
        <v>111.77884156560044</v>
      </c>
      <c r="S79" s="102" t="e">
        <f t="shared" si="52"/>
        <v>#DIV/0!</v>
      </c>
      <c r="T79" s="2"/>
    </row>
    <row r="80" spans="1:20" x14ac:dyDescent="0.25">
      <c r="A80" s="112"/>
      <c r="B80" s="106"/>
      <c r="C80" s="107"/>
      <c r="D80" s="125">
        <v>3222</v>
      </c>
      <c r="E80" s="7" t="s">
        <v>83</v>
      </c>
      <c r="F80" s="7"/>
      <c r="G80" s="7"/>
      <c r="H80" s="7"/>
      <c r="I80" s="13"/>
      <c r="J80" s="215">
        <v>5061.17</v>
      </c>
      <c r="K80" s="216"/>
      <c r="L80" s="215">
        <f>3500</f>
        <v>3500</v>
      </c>
      <c r="M80" s="222"/>
      <c r="N80" s="223"/>
      <c r="O80" s="224"/>
      <c r="P80" s="215">
        <v>2215.11</v>
      </c>
      <c r="Q80" s="222"/>
      <c r="R80" s="102">
        <f t="shared" si="45"/>
        <v>43.766757488881034</v>
      </c>
      <c r="S80" s="102" t="e">
        <f t="shared" si="52"/>
        <v>#DIV/0!</v>
      </c>
      <c r="T80" s="2"/>
    </row>
    <row r="81" spans="1:20" x14ac:dyDescent="0.25">
      <c r="A81" s="112"/>
      <c r="B81" s="106"/>
      <c r="C81" s="107"/>
      <c r="D81" s="125">
        <v>3223</v>
      </c>
      <c r="E81" s="7" t="s">
        <v>55</v>
      </c>
      <c r="F81" s="7"/>
      <c r="G81" s="7"/>
      <c r="H81" s="7"/>
      <c r="I81" s="13"/>
      <c r="J81" s="215">
        <v>23419.54</v>
      </c>
      <c r="K81" s="216"/>
      <c r="L81" s="215">
        <v>23420</v>
      </c>
      <c r="M81" s="222"/>
      <c r="N81" s="223"/>
      <c r="O81" s="224"/>
      <c r="P81" s="215">
        <v>25041.98</v>
      </c>
      <c r="Q81" s="222"/>
      <c r="R81" s="102">
        <f t="shared" si="45"/>
        <v>106.92771933180583</v>
      </c>
      <c r="S81" s="102" t="e">
        <f t="shared" si="52"/>
        <v>#DIV/0!</v>
      </c>
      <c r="T81" s="2"/>
    </row>
    <row r="82" spans="1:20" x14ac:dyDescent="0.25">
      <c r="A82" s="112"/>
      <c r="B82" s="106"/>
      <c r="C82" s="107"/>
      <c r="D82" s="125">
        <v>3224</v>
      </c>
      <c r="E82" s="7" t="s">
        <v>56</v>
      </c>
      <c r="F82" s="7"/>
      <c r="G82" s="7"/>
      <c r="H82" s="7"/>
      <c r="I82" s="13"/>
      <c r="J82" s="215">
        <v>3219.79</v>
      </c>
      <c r="K82" s="216"/>
      <c r="L82" s="215">
        <f>2000</f>
        <v>2000</v>
      </c>
      <c r="M82" s="222"/>
      <c r="N82" s="223"/>
      <c r="O82" s="224"/>
      <c r="P82" s="215">
        <v>1509.59</v>
      </c>
      <c r="Q82" s="222"/>
      <c r="R82" s="102">
        <f t="shared" si="45"/>
        <v>46.884734718723891</v>
      </c>
      <c r="S82" s="102" t="e">
        <f t="shared" si="52"/>
        <v>#DIV/0!</v>
      </c>
      <c r="T82" s="2"/>
    </row>
    <row r="83" spans="1:20" x14ac:dyDescent="0.25">
      <c r="A83" s="112"/>
      <c r="B83" s="106"/>
      <c r="C83" s="107"/>
      <c r="D83" s="125">
        <v>3225</v>
      </c>
      <c r="E83" s="7" t="s">
        <v>57</v>
      </c>
      <c r="F83" s="7"/>
      <c r="G83" s="7"/>
      <c r="H83" s="7"/>
      <c r="I83" s="13"/>
      <c r="J83" s="215">
        <v>1776.89</v>
      </c>
      <c r="K83" s="222"/>
      <c r="L83" s="215">
        <f>1500+2000</f>
        <v>3500</v>
      </c>
      <c r="M83" s="222"/>
      <c r="N83" s="223"/>
      <c r="O83" s="224"/>
      <c r="P83" s="215">
        <v>868.11</v>
      </c>
      <c r="Q83" s="222"/>
      <c r="R83" s="102">
        <f t="shared" si="45"/>
        <v>48.85558475763834</v>
      </c>
      <c r="S83" s="102" t="e">
        <f t="shared" si="52"/>
        <v>#DIV/0!</v>
      </c>
      <c r="T83" s="2"/>
    </row>
    <row r="84" spans="1:20" x14ac:dyDescent="0.25">
      <c r="A84" s="112"/>
      <c r="B84" s="106"/>
      <c r="C84" s="107"/>
      <c r="D84" s="125">
        <v>3227</v>
      </c>
      <c r="E84" s="7" t="s">
        <v>58</v>
      </c>
      <c r="F84" s="7"/>
      <c r="G84" s="7"/>
      <c r="H84" s="7"/>
      <c r="I84" s="13"/>
      <c r="J84" s="215">
        <v>882.12</v>
      </c>
      <c r="K84" s="222"/>
      <c r="L84" s="215">
        <v>800</v>
      </c>
      <c r="M84" s="222"/>
      <c r="N84" s="223"/>
      <c r="O84" s="224"/>
      <c r="P84" s="215">
        <v>800.06</v>
      </c>
      <c r="Q84" s="222"/>
      <c r="R84" s="102">
        <f t="shared" si="45"/>
        <v>90.697410783113398</v>
      </c>
      <c r="S84" s="102" t="e">
        <f t="shared" si="52"/>
        <v>#DIV/0!</v>
      </c>
      <c r="T84" s="2"/>
    </row>
    <row r="85" spans="1:20" x14ac:dyDescent="0.25">
      <c r="A85" s="112"/>
      <c r="B85" s="106"/>
      <c r="C85" s="107">
        <v>323</v>
      </c>
      <c r="D85" s="125"/>
      <c r="E85" s="4" t="s">
        <v>59</v>
      </c>
      <c r="F85" s="4"/>
      <c r="G85" s="4"/>
      <c r="H85" s="4"/>
      <c r="I85" s="11"/>
      <c r="J85" s="215">
        <f>SUM(J86:K94)</f>
        <v>39441.56</v>
      </c>
      <c r="K85" s="222"/>
      <c r="L85" s="217">
        <f t="shared" ref="L85" si="55">L86+L87+L88+L89+L90+L91+L92+L93+L94</f>
        <v>39807.880000000005</v>
      </c>
      <c r="M85" s="219"/>
      <c r="N85" s="220">
        <f>7314.78+2680.46+254.88+7223.46+3054.49+6290+4332.45+4299.47+263.24+3845+2750+2300+3000+2500+4000+730.02+1505</f>
        <v>56343.249999999993</v>
      </c>
      <c r="O85" s="221"/>
      <c r="P85" s="217">
        <f t="shared" ref="P85" si="56">P86+P87+P88+P89+P90+P91+P92+P93+P94</f>
        <v>47435.76</v>
      </c>
      <c r="Q85" s="219"/>
      <c r="R85" s="102">
        <f t="shared" si="45"/>
        <v>120.26846808290546</v>
      </c>
      <c r="S85" s="102">
        <f t="shared" si="52"/>
        <v>84.190670577220885</v>
      </c>
      <c r="T85" s="2"/>
    </row>
    <row r="86" spans="1:20" x14ac:dyDescent="0.25">
      <c r="A86" s="112"/>
      <c r="B86" s="106"/>
      <c r="C86" s="107"/>
      <c r="D86" s="125">
        <v>3231</v>
      </c>
      <c r="E86" s="7" t="s">
        <v>60</v>
      </c>
      <c r="F86" s="7"/>
      <c r="G86" s="7"/>
      <c r="H86" s="7"/>
      <c r="I86" s="13"/>
      <c r="J86" s="215">
        <v>4155.6400000000003</v>
      </c>
      <c r="K86" s="216"/>
      <c r="L86" s="215">
        <v>4500</v>
      </c>
      <c r="M86" s="222"/>
      <c r="N86" s="223"/>
      <c r="O86" s="224"/>
      <c r="P86" s="215">
        <v>7314.7</v>
      </c>
      <c r="Q86" s="222"/>
      <c r="R86" s="102">
        <f t="shared" si="45"/>
        <v>176.01861566449452</v>
      </c>
      <c r="S86" s="102" t="e">
        <f t="shared" si="52"/>
        <v>#DIV/0!</v>
      </c>
      <c r="T86" s="2"/>
    </row>
    <row r="87" spans="1:20" x14ac:dyDescent="0.25">
      <c r="A87" s="112"/>
      <c r="B87" s="106"/>
      <c r="C87" s="107"/>
      <c r="D87" s="125">
        <v>3232</v>
      </c>
      <c r="E87" s="7" t="s">
        <v>61</v>
      </c>
      <c r="F87" s="7"/>
      <c r="G87" s="7"/>
      <c r="H87" s="7"/>
      <c r="I87" s="13"/>
      <c r="J87" s="215">
        <v>3601.58</v>
      </c>
      <c r="K87" s="216"/>
      <c r="L87" s="215">
        <v>2000</v>
      </c>
      <c r="M87" s="222"/>
      <c r="N87" s="223"/>
      <c r="O87" s="224"/>
      <c r="P87" s="215">
        <v>6525.36</v>
      </c>
      <c r="Q87" s="222"/>
      <c r="R87" s="102">
        <f t="shared" si="45"/>
        <v>181.18048189961073</v>
      </c>
      <c r="S87" s="102" t="e">
        <f t="shared" si="52"/>
        <v>#DIV/0!</v>
      </c>
      <c r="T87" s="2"/>
    </row>
    <row r="88" spans="1:20" x14ac:dyDescent="0.25">
      <c r="A88" s="112"/>
      <c r="B88" s="106"/>
      <c r="C88" s="107"/>
      <c r="D88" s="125">
        <v>3233</v>
      </c>
      <c r="E88" s="7" t="s">
        <v>85</v>
      </c>
      <c r="F88" s="7"/>
      <c r="G88" s="7"/>
      <c r="H88" s="7"/>
      <c r="I88" s="13"/>
      <c r="J88" s="215">
        <v>554.88</v>
      </c>
      <c r="K88" s="216"/>
      <c r="L88" s="215">
        <v>400</v>
      </c>
      <c r="M88" s="222"/>
      <c r="N88" s="223"/>
      <c r="O88" s="224"/>
      <c r="P88" s="215">
        <v>254.88</v>
      </c>
      <c r="Q88" s="222"/>
      <c r="R88" s="102">
        <f t="shared" si="45"/>
        <v>45.934256055363321</v>
      </c>
      <c r="S88" s="102" t="e">
        <f t="shared" si="52"/>
        <v>#DIV/0!</v>
      </c>
      <c r="T88" s="2"/>
    </row>
    <row r="89" spans="1:20" x14ac:dyDescent="0.25">
      <c r="A89" s="112"/>
      <c r="B89" s="106"/>
      <c r="C89" s="107"/>
      <c r="D89" s="125">
        <v>3234</v>
      </c>
      <c r="E89" s="7" t="s">
        <v>84</v>
      </c>
      <c r="F89" s="7"/>
      <c r="G89" s="7"/>
      <c r="H89" s="7"/>
      <c r="I89" s="13"/>
      <c r="J89" s="215">
        <v>6813.4</v>
      </c>
      <c r="K89" s="216"/>
      <c r="L89" s="215">
        <v>6500</v>
      </c>
      <c r="M89" s="222"/>
      <c r="N89" s="223"/>
      <c r="O89" s="224"/>
      <c r="P89" s="215">
        <v>7166.44</v>
      </c>
      <c r="Q89" s="222"/>
      <c r="R89" s="102">
        <f t="shared" si="45"/>
        <v>105.18155399653624</v>
      </c>
      <c r="S89" s="102" t="e">
        <f t="shared" si="52"/>
        <v>#DIV/0!</v>
      </c>
      <c r="T89" s="2"/>
    </row>
    <row r="90" spans="1:20" x14ac:dyDescent="0.25">
      <c r="A90" s="112"/>
      <c r="B90" s="106"/>
      <c r="C90" s="107"/>
      <c r="D90" s="125">
        <v>3235</v>
      </c>
      <c r="E90" s="7" t="s">
        <v>62</v>
      </c>
      <c r="F90" s="7"/>
      <c r="G90" s="7"/>
      <c r="H90" s="7"/>
      <c r="I90" s="13"/>
      <c r="J90" s="215">
        <v>3443.49</v>
      </c>
      <c r="K90" s="216"/>
      <c r="L90" s="215">
        <f>3300+3000</f>
        <v>6300</v>
      </c>
      <c r="M90" s="222"/>
      <c r="N90" s="223"/>
      <c r="O90" s="224"/>
      <c r="P90" s="215">
        <v>5558.95</v>
      </c>
      <c r="Q90" s="222"/>
      <c r="R90" s="102">
        <f t="shared" si="45"/>
        <v>161.43360369857325</v>
      </c>
      <c r="S90" s="102" t="e">
        <f t="shared" si="52"/>
        <v>#DIV/0!</v>
      </c>
      <c r="T90" s="2"/>
    </row>
    <row r="91" spans="1:20" x14ac:dyDescent="0.25">
      <c r="A91" s="112"/>
      <c r="B91" s="106"/>
      <c r="C91" s="107"/>
      <c r="D91" s="125">
        <v>3236</v>
      </c>
      <c r="E91" s="7" t="s">
        <v>63</v>
      </c>
      <c r="F91" s="7"/>
      <c r="G91" s="7"/>
      <c r="H91" s="7"/>
      <c r="I91" s="13"/>
      <c r="J91" s="215">
        <v>4270</v>
      </c>
      <c r="K91" s="216"/>
      <c r="L91" s="215">
        <v>7007.88</v>
      </c>
      <c r="M91" s="222"/>
      <c r="N91" s="223"/>
      <c r="O91" s="224"/>
      <c r="P91" s="215">
        <v>6290</v>
      </c>
      <c r="Q91" s="222"/>
      <c r="R91" s="102">
        <f t="shared" si="45"/>
        <v>147.30679156908667</v>
      </c>
      <c r="S91" s="102" t="e">
        <f t="shared" si="52"/>
        <v>#DIV/0!</v>
      </c>
      <c r="T91" s="2"/>
    </row>
    <row r="92" spans="1:20" x14ac:dyDescent="0.25">
      <c r="A92" s="112"/>
      <c r="B92" s="106"/>
      <c r="C92" s="107"/>
      <c r="D92" s="125">
        <v>3237</v>
      </c>
      <c r="E92" s="7" t="s">
        <v>64</v>
      </c>
      <c r="F92" s="7"/>
      <c r="G92" s="7"/>
      <c r="H92" s="7"/>
      <c r="I92" s="13"/>
      <c r="J92" s="215">
        <v>12776.08</v>
      </c>
      <c r="K92" s="216"/>
      <c r="L92" s="215">
        <f>1500+1500+800+1000+1500</f>
        <v>6300</v>
      </c>
      <c r="M92" s="222"/>
      <c r="N92" s="223"/>
      <c r="O92" s="224"/>
      <c r="P92" s="215">
        <v>6915.28</v>
      </c>
      <c r="Q92" s="222"/>
      <c r="R92" s="102">
        <f t="shared" si="45"/>
        <v>54.126774409678077</v>
      </c>
      <c r="S92" s="102" t="e">
        <f t="shared" si="52"/>
        <v>#DIV/0!</v>
      </c>
      <c r="T92" s="2"/>
    </row>
    <row r="93" spans="1:20" x14ac:dyDescent="0.25">
      <c r="A93" s="112"/>
      <c r="B93" s="106"/>
      <c r="C93" s="107"/>
      <c r="D93" s="125">
        <v>3238</v>
      </c>
      <c r="E93" s="7" t="s">
        <v>65</v>
      </c>
      <c r="F93" s="7"/>
      <c r="G93" s="7"/>
      <c r="H93" s="7"/>
      <c r="I93" s="13"/>
      <c r="J93" s="215">
        <v>3330.56</v>
      </c>
      <c r="K93" s="216"/>
      <c r="L93" s="215">
        <v>2500</v>
      </c>
      <c r="M93" s="222"/>
      <c r="N93" s="223"/>
      <c r="O93" s="224"/>
      <c r="P93" s="215">
        <v>4296.91</v>
      </c>
      <c r="Q93" s="222"/>
      <c r="R93" s="102">
        <f t="shared" si="45"/>
        <v>129.01464018063029</v>
      </c>
      <c r="S93" s="102" t="e">
        <f t="shared" si="52"/>
        <v>#DIV/0!</v>
      </c>
      <c r="T93" s="2"/>
    </row>
    <row r="94" spans="1:20" x14ac:dyDescent="0.25">
      <c r="A94" s="112"/>
      <c r="B94" s="106"/>
      <c r="C94" s="107"/>
      <c r="D94" s="125">
        <v>3239</v>
      </c>
      <c r="E94" s="7" t="s">
        <v>66</v>
      </c>
      <c r="F94" s="7"/>
      <c r="G94" s="7"/>
      <c r="H94" s="7"/>
      <c r="I94" s="13"/>
      <c r="J94" s="215">
        <v>495.93</v>
      </c>
      <c r="K94" s="222"/>
      <c r="L94" s="215">
        <f>300+4000</f>
        <v>4300</v>
      </c>
      <c r="M94" s="222"/>
      <c r="N94" s="223"/>
      <c r="O94" s="224"/>
      <c r="P94" s="215">
        <v>3113.24</v>
      </c>
      <c r="Q94" s="222"/>
      <c r="R94" s="102">
        <f t="shared" si="45"/>
        <v>627.75794971064465</v>
      </c>
      <c r="S94" s="102" t="e">
        <f t="shared" si="52"/>
        <v>#DIV/0!</v>
      </c>
      <c r="T94" s="2"/>
    </row>
    <row r="95" spans="1:20" x14ac:dyDescent="0.25">
      <c r="A95" s="112"/>
      <c r="B95" s="106"/>
      <c r="C95" s="107">
        <v>329</v>
      </c>
      <c r="D95" s="125"/>
      <c r="E95" s="4" t="s">
        <v>67</v>
      </c>
      <c r="F95" s="4"/>
      <c r="G95" s="4"/>
      <c r="H95" s="4"/>
      <c r="I95" s="11"/>
      <c r="J95" s="215">
        <f>SUM(J96:K103)</f>
        <v>87110.65</v>
      </c>
      <c r="K95" s="222"/>
      <c r="L95" s="217">
        <f>L96+L98+L99+L100+L101+L102+L103</f>
        <v>31773.22</v>
      </c>
      <c r="M95" s="219"/>
      <c r="N95" s="220">
        <f>186.91+1549.48+4999.08+4000+1800+8264.27+3008.95+12500+1472.99+79.13+790+19384</f>
        <v>58034.81</v>
      </c>
      <c r="O95" s="221"/>
      <c r="P95" s="217">
        <f t="shared" ref="P95" si="57">P96+P98+P99+P100+P101+P102+P103</f>
        <v>32326.93</v>
      </c>
      <c r="Q95" s="219"/>
      <c r="R95" s="102">
        <f t="shared" si="45"/>
        <v>37.110192611351202</v>
      </c>
      <c r="S95" s="102">
        <f t="shared" si="52"/>
        <v>55.702655009984525</v>
      </c>
      <c r="T95" s="2"/>
    </row>
    <row r="96" spans="1:20" x14ac:dyDescent="0.25">
      <c r="A96" s="114"/>
      <c r="B96" s="115"/>
      <c r="C96" s="116"/>
      <c r="D96" s="126">
        <v>3291</v>
      </c>
      <c r="E96" s="366" t="s">
        <v>68</v>
      </c>
      <c r="F96" s="366"/>
      <c r="G96" s="366"/>
      <c r="H96" s="366"/>
      <c r="I96" s="367"/>
      <c r="J96" s="248">
        <v>1458.98</v>
      </c>
      <c r="K96" s="249"/>
      <c r="L96" s="225"/>
      <c r="M96" s="314"/>
      <c r="N96" s="227"/>
      <c r="O96" s="373"/>
      <c r="P96" s="225">
        <v>1472.99</v>
      </c>
      <c r="Q96" s="314"/>
      <c r="R96" s="376">
        <f>P96/J96*100</f>
        <v>100.96025990760668</v>
      </c>
      <c r="S96" s="376" t="e">
        <f>P96/N96*100</f>
        <v>#DIV/0!</v>
      </c>
      <c r="T96" s="2"/>
    </row>
    <row r="97" spans="1:21" x14ac:dyDescent="0.25">
      <c r="A97" s="114"/>
      <c r="B97" s="115"/>
      <c r="C97" s="116"/>
      <c r="D97" s="126"/>
      <c r="E97" s="366"/>
      <c r="F97" s="366"/>
      <c r="G97" s="366"/>
      <c r="H97" s="366"/>
      <c r="I97" s="367"/>
      <c r="J97" s="246"/>
      <c r="K97" s="247"/>
      <c r="L97" s="315"/>
      <c r="M97" s="316"/>
      <c r="N97" s="374"/>
      <c r="O97" s="375"/>
      <c r="P97" s="315"/>
      <c r="Q97" s="316"/>
      <c r="R97" s="377"/>
      <c r="S97" s="377"/>
      <c r="T97" s="2"/>
    </row>
    <row r="98" spans="1:21" x14ac:dyDescent="0.25">
      <c r="A98" s="112"/>
      <c r="B98" s="106"/>
      <c r="C98" s="107"/>
      <c r="D98" s="125">
        <v>3292</v>
      </c>
      <c r="E98" s="7" t="s">
        <v>69</v>
      </c>
      <c r="F98" s="7"/>
      <c r="G98" s="7"/>
      <c r="H98" s="7"/>
      <c r="I98" s="13"/>
      <c r="J98" s="315">
        <v>307.56</v>
      </c>
      <c r="K98" s="316"/>
      <c r="L98" s="215">
        <v>500</v>
      </c>
      <c r="M98" s="222"/>
      <c r="N98" s="223"/>
      <c r="O98" s="224"/>
      <c r="P98" s="372">
        <v>186.91</v>
      </c>
      <c r="Q98" s="372"/>
      <c r="R98" s="102">
        <f>P98/J98*100</f>
        <v>60.771881909220959</v>
      </c>
      <c r="S98" s="102" t="e">
        <f>P98/N98*100</f>
        <v>#DIV/0!</v>
      </c>
      <c r="T98" s="2"/>
    </row>
    <row r="99" spans="1:21" x14ac:dyDescent="0.25">
      <c r="A99" s="112"/>
      <c r="B99" s="106"/>
      <c r="C99" s="107"/>
      <c r="D99" s="125">
        <v>3293</v>
      </c>
      <c r="E99" s="7" t="s">
        <v>70</v>
      </c>
      <c r="F99" s="7"/>
      <c r="G99" s="7"/>
      <c r="H99" s="7"/>
      <c r="I99" s="13"/>
      <c r="J99" s="215">
        <v>5605.26</v>
      </c>
      <c r="K99" s="216"/>
      <c r="L99" s="215">
        <f>2000+2500+1000+2500+1000+4764.27</f>
        <v>13764.27</v>
      </c>
      <c r="M99" s="222"/>
      <c r="N99" s="223"/>
      <c r="O99" s="224"/>
      <c r="P99" s="372">
        <v>4825.03</v>
      </c>
      <c r="Q99" s="372"/>
      <c r="R99" s="102">
        <f t="shared" ref="R99:R111" si="58">P99/J99*100</f>
        <v>86.080395913838075</v>
      </c>
      <c r="S99" s="102" t="e">
        <f t="shared" ref="S99:S111" si="59">P99/N99*100</f>
        <v>#DIV/0!</v>
      </c>
      <c r="T99" s="2"/>
    </row>
    <row r="100" spans="1:21" x14ac:dyDescent="0.25">
      <c r="A100" s="112"/>
      <c r="B100" s="106"/>
      <c r="C100" s="107"/>
      <c r="D100" s="125">
        <v>3294</v>
      </c>
      <c r="E100" s="7" t="s">
        <v>86</v>
      </c>
      <c r="F100" s="7"/>
      <c r="G100" s="7"/>
      <c r="H100" s="7"/>
      <c r="I100" s="13"/>
      <c r="J100" s="215">
        <v>0</v>
      </c>
      <c r="K100" s="216"/>
      <c r="L100" s="215">
        <v>0</v>
      </c>
      <c r="M100" s="222"/>
      <c r="N100" s="223"/>
      <c r="O100" s="224"/>
      <c r="P100" s="372">
        <v>0</v>
      </c>
      <c r="Q100" s="372"/>
      <c r="R100" s="102" t="e">
        <f t="shared" si="58"/>
        <v>#DIV/0!</v>
      </c>
      <c r="S100" s="102" t="e">
        <f t="shared" si="59"/>
        <v>#DIV/0!</v>
      </c>
      <c r="T100" s="2"/>
    </row>
    <row r="101" spans="1:21" x14ac:dyDescent="0.25">
      <c r="A101" s="112"/>
      <c r="B101" s="106"/>
      <c r="C101" s="107"/>
      <c r="D101" s="125">
        <v>3295</v>
      </c>
      <c r="E101" s="7" t="s">
        <v>72</v>
      </c>
      <c r="F101" s="7"/>
      <c r="G101" s="7"/>
      <c r="H101" s="7"/>
      <c r="I101" s="13"/>
      <c r="J101" s="215">
        <v>3328.87</v>
      </c>
      <c r="K101" s="216"/>
      <c r="L101" s="215">
        <v>4000</v>
      </c>
      <c r="M101" s="222"/>
      <c r="N101" s="223"/>
      <c r="O101" s="224"/>
      <c r="P101" s="372">
        <v>3976</v>
      </c>
      <c r="Q101" s="372"/>
      <c r="R101" s="102">
        <f t="shared" si="58"/>
        <v>119.43993006635887</v>
      </c>
      <c r="S101" s="102" t="e">
        <f t="shared" si="59"/>
        <v>#DIV/0!</v>
      </c>
      <c r="T101" s="2"/>
    </row>
    <row r="102" spans="1:21" x14ac:dyDescent="0.25">
      <c r="A102" s="112"/>
      <c r="B102" s="106"/>
      <c r="C102" s="107"/>
      <c r="D102" s="125">
        <v>3296</v>
      </c>
      <c r="E102" s="7" t="s">
        <v>73</v>
      </c>
      <c r="F102" s="7"/>
      <c r="G102" s="7"/>
      <c r="H102" s="7"/>
      <c r="I102" s="13"/>
      <c r="J102" s="215">
        <v>24260.26</v>
      </c>
      <c r="K102" s="216"/>
      <c r="L102" s="215">
        <f>17.32+2991.63</f>
        <v>3008.9500000000003</v>
      </c>
      <c r="M102" s="222"/>
      <c r="N102" s="223"/>
      <c r="O102" s="224"/>
      <c r="P102" s="372">
        <v>3758.83</v>
      </c>
      <c r="Q102" s="372"/>
      <c r="R102" s="102">
        <f t="shared" si="58"/>
        <v>15.493774592687796</v>
      </c>
      <c r="S102" s="102" t="e">
        <f t="shared" si="59"/>
        <v>#DIV/0!</v>
      </c>
      <c r="T102" s="2"/>
    </row>
    <row r="103" spans="1:21" x14ac:dyDescent="0.25">
      <c r="A103" s="112"/>
      <c r="B103" s="106"/>
      <c r="C103" s="107"/>
      <c r="D103" s="125">
        <v>3299</v>
      </c>
      <c r="E103" s="7" t="s">
        <v>67</v>
      </c>
      <c r="F103" s="7"/>
      <c r="G103" s="7"/>
      <c r="H103" s="7"/>
      <c r="I103" s="13"/>
      <c r="J103" s="215">
        <v>52149.72</v>
      </c>
      <c r="K103" s="216"/>
      <c r="L103" s="215">
        <f>2000+1500+1500+3500+1500+2000+2500-4000</f>
        <v>10500</v>
      </c>
      <c r="M103" s="222"/>
      <c r="N103" s="223"/>
      <c r="O103" s="224"/>
      <c r="P103" s="372">
        <v>18107.169999999998</v>
      </c>
      <c r="Q103" s="372"/>
      <c r="R103" s="102">
        <f t="shared" si="58"/>
        <v>34.72150953063602</v>
      </c>
      <c r="S103" s="102" t="e">
        <f t="shared" si="59"/>
        <v>#DIV/0!</v>
      </c>
      <c r="T103" s="2"/>
      <c r="U103" s="25"/>
    </row>
    <row r="104" spans="1:21" ht="18" customHeight="1" x14ac:dyDescent="0.25">
      <c r="A104" s="112"/>
      <c r="B104" s="106">
        <v>34</v>
      </c>
      <c r="C104" s="107"/>
      <c r="D104" s="125"/>
      <c r="E104" s="5" t="s">
        <v>74</v>
      </c>
      <c r="F104" s="5"/>
      <c r="G104" s="5"/>
      <c r="H104" s="5"/>
      <c r="I104" s="16"/>
      <c r="J104" s="372">
        <f>SUM(J105)</f>
        <v>0</v>
      </c>
      <c r="K104" s="372"/>
      <c r="L104" s="235">
        <f t="shared" ref="L104:N113" si="60">L105</f>
        <v>0</v>
      </c>
      <c r="M104" s="254"/>
      <c r="N104" s="370">
        <f t="shared" si="60"/>
        <v>0</v>
      </c>
      <c r="O104" s="371"/>
      <c r="P104" s="235">
        <f t="shared" ref="P104:P113" si="61">P105</f>
        <v>0</v>
      </c>
      <c r="Q104" s="254"/>
      <c r="R104" s="101" t="e">
        <f t="shared" si="58"/>
        <v>#DIV/0!</v>
      </c>
      <c r="S104" s="101" t="e">
        <f t="shared" si="59"/>
        <v>#DIV/0!</v>
      </c>
      <c r="T104" s="2"/>
    </row>
    <row r="105" spans="1:21" x14ac:dyDescent="0.25">
      <c r="A105" s="112"/>
      <c r="B105" s="106"/>
      <c r="C105" s="107">
        <v>343</v>
      </c>
      <c r="D105" s="125"/>
      <c r="E105" s="4" t="s">
        <v>87</v>
      </c>
      <c r="F105" s="4"/>
      <c r="G105" s="4"/>
      <c r="H105" s="4"/>
      <c r="I105" s="11"/>
      <c r="J105" s="235">
        <f t="shared" ref="J105:J115" si="62">J106</f>
        <v>0</v>
      </c>
      <c r="K105" s="254"/>
      <c r="L105" s="217">
        <f t="shared" si="60"/>
        <v>0</v>
      </c>
      <c r="M105" s="219"/>
      <c r="N105" s="220">
        <f t="shared" si="60"/>
        <v>0</v>
      </c>
      <c r="O105" s="221"/>
      <c r="P105" s="217">
        <f t="shared" si="61"/>
        <v>0</v>
      </c>
      <c r="Q105" s="219"/>
      <c r="R105" s="102" t="e">
        <f t="shared" si="58"/>
        <v>#DIV/0!</v>
      </c>
      <c r="S105" s="102" t="e">
        <f t="shared" si="59"/>
        <v>#DIV/0!</v>
      </c>
      <c r="T105" s="2"/>
    </row>
    <row r="106" spans="1:21" x14ac:dyDescent="0.25">
      <c r="A106" s="112"/>
      <c r="B106" s="106"/>
      <c r="C106" s="107"/>
      <c r="D106" s="125">
        <v>3433</v>
      </c>
      <c r="E106" s="8" t="s">
        <v>75</v>
      </c>
      <c r="F106" s="8"/>
      <c r="G106" s="8"/>
      <c r="H106" s="8"/>
      <c r="I106" s="23"/>
      <c r="J106" s="217">
        <v>0</v>
      </c>
      <c r="K106" s="219"/>
      <c r="L106" s="225">
        <v>0</v>
      </c>
      <c r="M106" s="226"/>
      <c r="N106" s="227"/>
      <c r="O106" s="228"/>
      <c r="P106" s="225">
        <v>0</v>
      </c>
      <c r="Q106" s="226"/>
      <c r="R106" s="102" t="e">
        <f t="shared" si="58"/>
        <v>#DIV/0!</v>
      </c>
      <c r="S106" s="102" t="e">
        <f t="shared" si="59"/>
        <v>#DIV/0!</v>
      </c>
      <c r="T106" s="2"/>
    </row>
    <row r="107" spans="1:21" s="74" customFormat="1" x14ac:dyDescent="0.25">
      <c r="A107" s="112"/>
      <c r="B107" s="106">
        <v>37</v>
      </c>
      <c r="C107" s="107"/>
      <c r="D107" s="125"/>
      <c r="E107" s="241" t="s">
        <v>230</v>
      </c>
      <c r="F107" s="242"/>
      <c r="G107" s="242"/>
      <c r="H107" s="242"/>
      <c r="I107" s="243"/>
      <c r="J107" s="244">
        <f>SUM(J108)</f>
        <v>9709.98</v>
      </c>
      <c r="K107" s="245"/>
      <c r="L107" s="244">
        <f t="shared" ref="L107" si="63">SUM(L108)</f>
        <v>4000</v>
      </c>
      <c r="M107" s="245"/>
      <c r="N107" s="250">
        <f t="shared" ref="N107" si="64">SUM(N108)</f>
        <v>14000</v>
      </c>
      <c r="O107" s="251"/>
      <c r="P107" s="244">
        <f t="shared" ref="P107" si="65">SUM(P108)</f>
        <v>2045.28</v>
      </c>
      <c r="Q107" s="245"/>
      <c r="R107" s="102">
        <f t="shared" si="58"/>
        <v>21.063689111615062</v>
      </c>
      <c r="S107" s="102">
        <f t="shared" si="59"/>
        <v>14.609142857142857</v>
      </c>
      <c r="T107" s="2"/>
    </row>
    <row r="108" spans="1:21" s="74" customFormat="1" x14ac:dyDescent="0.25">
      <c r="A108" s="112"/>
      <c r="B108" s="106"/>
      <c r="C108" s="107">
        <v>372</v>
      </c>
      <c r="D108" s="125"/>
      <c r="E108" s="8" t="s">
        <v>231</v>
      </c>
      <c r="F108" s="8"/>
      <c r="G108" s="8"/>
      <c r="H108" s="8"/>
      <c r="I108" s="23"/>
      <c r="J108" s="217">
        <f>SUM(J109:K111)</f>
        <v>9709.98</v>
      </c>
      <c r="K108" s="218"/>
      <c r="L108" s="248">
        <f t="shared" ref="L108" si="66">SUM(L109:M111)</f>
        <v>4000</v>
      </c>
      <c r="M108" s="249"/>
      <c r="N108" s="252">
        <f>10000+4000</f>
        <v>14000</v>
      </c>
      <c r="O108" s="253"/>
      <c r="P108" s="248">
        <f t="shared" ref="P108" si="67">SUM(P109:Q111)</f>
        <v>2045.28</v>
      </c>
      <c r="Q108" s="249"/>
      <c r="R108" s="102">
        <f t="shared" si="58"/>
        <v>21.063689111615062</v>
      </c>
      <c r="S108" s="102">
        <f t="shared" si="59"/>
        <v>14.609142857142857</v>
      </c>
      <c r="T108" s="2"/>
    </row>
    <row r="109" spans="1:21" s="74" customFormat="1" x14ac:dyDescent="0.25">
      <c r="A109" s="112"/>
      <c r="B109" s="106"/>
      <c r="C109" s="107"/>
      <c r="D109" s="125">
        <v>3721</v>
      </c>
      <c r="E109" s="8" t="s">
        <v>232</v>
      </c>
      <c r="F109" s="8"/>
      <c r="G109" s="8"/>
      <c r="H109" s="8"/>
      <c r="I109" s="23"/>
      <c r="J109" s="246">
        <v>9597.32</v>
      </c>
      <c r="K109" s="247"/>
      <c r="L109" s="215">
        <v>4000</v>
      </c>
      <c r="M109" s="216"/>
      <c r="N109" s="223"/>
      <c r="O109" s="237"/>
      <c r="P109" s="215">
        <v>2045.28</v>
      </c>
      <c r="Q109" s="216"/>
      <c r="R109" s="102">
        <f t="shared" si="58"/>
        <v>21.310949306681447</v>
      </c>
      <c r="S109" s="102" t="e">
        <f t="shared" si="59"/>
        <v>#DIV/0!</v>
      </c>
      <c r="T109" s="2"/>
    </row>
    <row r="110" spans="1:21" s="74" customFormat="1" x14ac:dyDescent="0.25">
      <c r="A110" s="112"/>
      <c r="B110" s="106"/>
      <c r="C110" s="107"/>
      <c r="D110" s="125">
        <v>3722</v>
      </c>
      <c r="E110" s="8" t="s">
        <v>233</v>
      </c>
      <c r="F110" s="8"/>
      <c r="G110" s="8"/>
      <c r="H110" s="8"/>
      <c r="I110" s="23"/>
      <c r="J110" s="217">
        <v>112.66</v>
      </c>
      <c r="K110" s="219"/>
      <c r="L110" s="215">
        <v>0</v>
      </c>
      <c r="M110" s="216"/>
      <c r="N110" s="223"/>
      <c r="O110" s="237"/>
      <c r="P110" s="215">
        <v>0</v>
      </c>
      <c r="Q110" s="216"/>
      <c r="R110" s="102">
        <f t="shared" si="58"/>
        <v>0</v>
      </c>
      <c r="S110" s="102" t="e">
        <f t="shared" si="59"/>
        <v>#DIV/0!</v>
      </c>
      <c r="T110" s="2"/>
    </row>
    <row r="111" spans="1:21" s="74" customFormat="1" x14ac:dyDescent="0.25">
      <c r="A111" s="112"/>
      <c r="B111" s="106"/>
      <c r="C111" s="107"/>
      <c r="D111" s="125">
        <v>3723</v>
      </c>
      <c r="E111" s="8" t="s">
        <v>234</v>
      </c>
      <c r="F111" s="8"/>
      <c r="G111" s="8"/>
      <c r="H111" s="8"/>
      <c r="I111" s="23"/>
      <c r="J111" s="225">
        <v>0</v>
      </c>
      <c r="K111" s="226"/>
      <c r="L111" s="215">
        <v>0</v>
      </c>
      <c r="M111" s="216"/>
      <c r="N111" s="223"/>
      <c r="O111" s="237"/>
      <c r="P111" s="215">
        <v>0</v>
      </c>
      <c r="Q111" s="216"/>
      <c r="R111" s="102" t="e">
        <f t="shared" si="58"/>
        <v>#DIV/0!</v>
      </c>
      <c r="S111" s="102" t="e">
        <f t="shared" si="59"/>
        <v>#DIV/0!</v>
      </c>
      <c r="T111" s="2"/>
    </row>
    <row r="112" spans="1:21" x14ac:dyDescent="0.25">
      <c r="A112" s="112"/>
      <c r="B112" s="106">
        <v>38</v>
      </c>
      <c r="C112" s="107"/>
      <c r="D112" s="125"/>
      <c r="E112" s="5" t="s">
        <v>132</v>
      </c>
      <c r="F112" s="5"/>
      <c r="G112" s="5"/>
      <c r="H112" s="5"/>
      <c r="I112" s="16"/>
      <c r="J112" s="244">
        <f>SUM(J113)</f>
        <v>1556.54</v>
      </c>
      <c r="K112" s="245"/>
      <c r="L112" s="235">
        <f t="shared" si="60"/>
        <v>0</v>
      </c>
      <c r="M112" s="254"/>
      <c r="N112" s="370">
        <f t="shared" si="60"/>
        <v>1566</v>
      </c>
      <c r="O112" s="371"/>
      <c r="P112" s="235">
        <f t="shared" si="61"/>
        <v>1566</v>
      </c>
      <c r="Q112" s="254"/>
      <c r="R112" s="102">
        <f t="shared" ref="R112:R113" si="68">P112/J112*100</f>
        <v>100.60775823300396</v>
      </c>
      <c r="S112" s="102">
        <f t="shared" ref="S112:S113" si="69">P112/N112*100</f>
        <v>100</v>
      </c>
      <c r="T112" s="2"/>
    </row>
    <row r="113" spans="1:21" x14ac:dyDescent="0.25">
      <c r="A113" s="112"/>
      <c r="B113" s="106"/>
      <c r="C113" s="107">
        <v>381</v>
      </c>
      <c r="D113" s="125"/>
      <c r="E113" s="4" t="s">
        <v>26</v>
      </c>
      <c r="F113" s="4"/>
      <c r="G113" s="4"/>
      <c r="H113" s="4"/>
      <c r="I113" s="11"/>
      <c r="J113" s="215">
        <f>SUM(J114)</f>
        <v>1556.54</v>
      </c>
      <c r="K113" s="216"/>
      <c r="L113" s="217">
        <f t="shared" si="60"/>
        <v>0</v>
      </c>
      <c r="M113" s="219"/>
      <c r="N113" s="220">
        <f t="shared" si="60"/>
        <v>1566</v>
      </c>
      <c r="O113" s="221"/>
      <c r="P113" s="217">
        <f t="shared" si="61"/>
        <v>1566</v>
      </c>
      <c r="Q113" s="219"/>
      <c r="R113" s="102">
        <f t="shared" si="68"/>
        <v>100.60775823300396</v>
      </c>
      <c r="S113" s="102">
        <f t="shared" si="69"/>
        <v>100</v>
      </c>
      <c r="T113" s="2"/>
    </row>
    <row r="114" spans="1:21" x14ac:dyDescent="0.25">
      <c r="A114" s="112"/>
      <c r="B114" s="106"/>
      <c r="C114" s="107"/>
      <c r="D114" s="125">
        <v>3812</v>
      </c>
      <c r="E114" s="8" t="s">
        <v>167</v>
      </c>
      <c r="F114" s="8"/>
      <c r="G114" s="8"/>
      <c r="H114" s="8"/>
      <c r="I114" s="23"/>
      <c r="J114" s="235">
        <v>1556.54</v>
      </c>
      <c r="K114" s="236"/>
      <c r="L114" s="225"/>
      <c r="M114" s="226"/>
      <c r="N114" s="227">
        <f>1566</f>
        <v>1566</v>
      </c>
      <c r="O114" s="228"/>
      <c r="P114" s="225">
        <v>1566</v>
      </c>
      <c r="Q114" s="226"/>
      <c r="R114" s="102">
        <f t="shared" ref="R114" si="70">P114/J114*100</f>
        <v>100.60775823300396</v>
      </c>
      <c r="S114" s="102">
        <f t="shared" ref="S114" si="71">P114/N114*100</f>
        <v>100</v>
      </c>
      <c r="T114" s="2"/>
    </row>
    <row r="115" spans="1:21" x14ac:dyDescent="0.25">
      <c r="A115" s="127">
        <v>4</v>
      </c>
      <c r="B115" s="121"/>
      <c r="C115" s="121"/>
      <c r="D115" s="128"/>
      <c r="E115" s="368" t="s">
        <v>81</v>
      </c>
      <c r="F115" s="368"/>
      <c r="G115" s="368"/>
      <c r="H115" s="368"/>
      <c r="I115" s="369"/>
      <c r="J115" s="229">
        <f t="shared" si="62"/>
        <v>33283.410000000003</v>
      </c>
      <c r="K115" s="230"/>
      <c r="L115" s="233">
        <f>L116+L124</f>
        <v>6500</v>
      </c>
      <c r="M115" s="234"/>
      <c r="N115" s="231">
        <f>N116+N124</f>
        <v>11437.02</v>
      </c>
      <c r="O115" s="232"/>
      <c r="P115" s="233">
        <f>P116+P124</f>
        <v>4939.22</v>
      </c>
      <c r="Q115" s="234"/>
      <c r="R115" s="93">
        <f>P115/J115*100</f>
        <v>14.839885696808109</v>
      </c>
      <c r="S115" s="93">
        <f>P115/N115*100</f>
        <v>43.186249565009064</v>
      </c>
      <c r="T115" s="2"/>
    </row>
    <row r="116" spans="1:21" x14ac:dyDescent="0.25">
      <c r="A116" s="112"/>
      <c r="B116" s="106">
        <v>42</v>
      </c>
      <c r="C116" s="107"/>
      <c r="D116" s="125"/>
      <c r="E116" s="5" t="s">
        <v>76</v>
      </c>
      <c r="F116" s="5"/>
      <c r="G116" s="5"/>
      <c r="H116" s="5"/>
      <c r="I116" s="16"/>
      <c r="J116" s="235">
        <f>J117+J120+J122</f>
        <v>33283.410000000003</v>
      </c>
      <c r="K116" s="254"/>
      <c r="L116" s="235">
        <f>L117+L120</f>
        <v>6500</v>
      </c>
      <c r="M116" s="254"/>
      <c r="N116" s="370">
        <f>N117+N120</f>
        <v>11437.02</v>
      </c>
      <c r="O116" s="371"/>
      <c r="P116" s="235">
        <f>P117+P120</f>
        <v>4939.22</v>
      </c>
      <c r="Q116" s="254"/>
      <c r="R116" s="101">
        <f t="shared" ref="R116:R121" si="72">P116/J116*100</f>
        <v>14.839885696808109</v>
      </c>
      <c r="S116" s="101">
        <f t="shared" ref="S116:S121" si="73">P116/N116*100</f>
        <v>43.186249565009064</v>
      </c>
      <c r="T116" s="2"/>
    </row>
    <row r="117" spans="1:21" x14ac:dyDescent="0.25">
      <c r="A117" s="112"/>
      <c r="B117" s="106"/>
      <c r="C117" s="107">
        <v>422</v>
      </c>
      <c r="D117" s="125"/>
      <c r="E117" s="4" t="s">
        <v>77</v>
      </c>
      <c r="F117" s="4"/>
      <c r="G117" s="4"/>
      <c r="H117" s="4"/>
      <c r="I117" s="11"/>
      <c r="J117" s="217">
        <f>J118+J119</f>
        <v>3426.75</v>
      </c>
      <c r="K117" s="218"/>
      <c r="L117" s="217">
        <f t="shared" ref="L117" si="74">L118+L119</f>
        <v>3800</v>
      </c>
      <c r="M117" s="219"/>
      <c r="N117" s="220">
        <f>3437.02+1000+800+1500+2000</f>
        <v>8737.02</v>
      </c>
      <c r="O117" s="221"/>
      <c r="P117" s="217">
        <f t="shared" ref="P117" si="75">P118+P119</f>
        <v>3936.6</v>
      </c>
      <c r="Q117" s="219"/>
      <c r="R117" s="102">
        <f t="shared" si="72"/>
        <v>114.8785292186474</v>
      </c>
      <c r="S117" s="102">
        <f t="shared" si="73"/>
        <v>45.056552462967922</v>
      </c>
      <c r="T117" s="2"/>
    </row>
    <row r="118" spans="1:21" x14ac:dyDescent="0.25">
      <c r="A118" s="112"/>
      <c r="B118" s="106"/>
      <c r="C118" s="107"/>
      <c r="D118" s="125">
        <v>4221</v>
      </c>
      <c r="E118" s="7" t="s">
        <v>88</v>
      </c>
      <c r="F118" s="7"/>
      <c r="G118" s="7"/>
      <c r="H118" s="7"/>
      <c r="I118" s="13"/>
      <c r="J118" s="215">
        <v>3426.75</v>
      </c>
      <c r="K118" s="216"/>
      <c r="L118" s="215">
        <v>1800</v>
      </c>
      <c r="M118" s="222"/>
      <c r="N118" s="223"/>
      <c r="O118" s="224"/>
      <c r="P118" s="215">
        <v>3375</v>
      </c>
      <c r="Q118" s="222"/>
      <c r="R118" s="102">
        <f t="shared" si="72"/>
        <v>98.489822718319104</v>
      </c>
      <c r="S118" s="102" t="e">
        <f t="shared" si="73"/>
        <v>#DIV/0!</v>
      </c>
      <c r="T118" s="2"/>
    </row>
    <row r="119" spans="1:21" x14ac:dyDescent="0.25">
      <c r="A119" s="112"/>
      <c r="B119" s="106"/>
      <c r="C119" s="107"/>
      <c r="D119" s="125">
        <v>4227</v>
      </c>
      <c r="E119" s="7" t="s">
        <v>78</v>
      </c>
      <c r="F119" s="7"/>
      <c r="G119" s="7"/>
      <c r="H119" s="7"/>
      <c r="I119" s="13"/>
      <c r="J119" s="215"/>
      <c r="K119" s="216"/>
      <c r="L119" s="215">
        <v>2000</v>
      </c>
      <c r="M119" s="222"/>
      <c r="N119" s="223"/>
      <c r="O119" s="224"/>
      <c r="P119" s="215">
        <v>561.6</v>
      </c>
      <c r="Q119" s="222"/>
      <c r="R119" s="102" t="e">
        <f t="shared" si="72"/>
        <v>#DIV/0!</v>
      </c>
      <c r="S119" s="102" t="e">
        <f t="shared" si="73"/>
        <v>#DIV/0!</v>
      </c>
      <c r="T119" s="2"/>
    </row>
    <row r="120" spans="1:21" x14ac:dyDescent="0.25">
      <c r="A120" s="112"/>
      <c r="B120" s="106"/>
      <c r="C120" s="107">
        <v>424</v>
      </c>
      <c r="D120" s="125"/>
      <c r="E120" s="4" t="s">
        <v>79</v>
      </c>
      <c r="F120" s="4"/>
      <c r="G120" s="4"/>
      <c r="H120" s="4"/>
      <c r="I120" s="11"/>
      <c r="J120" s="217">
        <f t="shared" ref="J120" si="76">J121</f>
        <v>981.66</v>
      </c>
      <c r="K120" s="218"/>
      <c r="L120" s="217">
        <f t="shared" ref="L120:N122" si="77">L121</f>
        <v>2700</v>
      </c>
      <c r="M120" s="219"/>
      <c r="N120" s="220">
        <f>2700</f>
        <v>2700</v>
      </c>
      <c r="O120" s="221"/>
      <c r="P120" s="217">
        <f t="shared" ref="P120:P122" si="78">P121</f>
        <v>1002.62</v>
      </c>
      <c r="Q120" s="219"/>
      <c r="R120" s="102">
        <f t="shared" si="72"/>
        <v>102.13515881262352</v>
      </c>
      <c r="S120" s="102">
        <f t="shared" si="73"/>
        <v>37.134074074074078</v>
      </c>
      <c r="T120" s="2"/>
    </row>
    <row r="121" spans="1:21" x14ac:dyDescent="0.25">
      <c r="A121" s="112"/>
      <c r="B121" s="106"/>
      <c r="C121" s="107"/>
      <c r="D121" s="125">
        <v>4241</v>
      </c>
      <c r="E121" s="7" t="s">
        <v>80</v>
      </c>
      <c r="F121" s="7"/>
      <c r="G121" s="7"/>
      <c r="H121" s="7"/>
      <c r="I121" s="13"/>
      <c r="J121" s="215">
        <v>981.66</v>
      </c>
      <c r="K121" s="222"/>
      <c r="L121" s="215">
        <v>2700</v>
      </c>
      <c r="M121" s="222"/>
      <c r="N121" s="223"/>
      <c r="O121" s="224"/>
      <c r="P121" s="215">
        <v>1002.62</v>
      </c>
      <c r="Q121" s="222"/>
      <c r="R121" s="102">
        <f t="shared" si="72"/>
        <v>102.13515881262352</v>
      </c>
      <c r="S121" s="102" t="e">
        <f t="shared" si="73"/>
        <v>#DIV/0!</v>
      </c>
      <c r="T121" s="2"/>
    </row>
    <row r="122" spans="1:21" s="74" customFormat="1" x14ac:dyDescent="0.25">
      <c r="A122" s="112"/>
      <c r="B122" s="106"/>
      <c r="C122" s="107">
        <v>426</v>
      </c>
      <c r="D122" s="125"/>
      <c r="E122" s="4" t="s">
        <v>235</v>
      </c>
      <c r="F122" s="4"/>
      <c r="G122" s="4"/>
      <c r="H122" s="4"/>
      <c r="I122" s="11"/>
      <c r="J122" s="217">
        <v>28875</v>
      </c>
      <c r="K122" s="218"/>
      <c r="L122" s="217">
        <f t="shared" si="77"/>
        <v>0</v>
      </c>
      <c r="M122" s="219"/>
      <c r="N122" s="220">
        <f t="shared" si="77"/>
        <v>0</v>
      </c>
      <c r="O122" s="221"/>
      <c r="P122" s="217">
        <f t="shared" si="78"/>
        <v>0</v>
      </c>
      <c r="Q122" s="219"/>
      <c r="R122" s="102">
        <f t="shared" ref="R122:R123" si="79">P122/J122*100</f>
        <v>0</v>
      </c>
      <c r="S122" s="102" t="e">
        <f t="shared" ref="S122:S123" si="80">P122/N122*100</f>
        <v>#DIV/0!</v>
      </c>
      <c r="T122" s="2"/>
    </row>
    <row r="123" spans="1:21" s="74" customFormat="1" x14ac:dyDescent="0.25">
      <c r="A123" s="112"/>
      <c r="B123" s="106"/>
      <c r="C123" s="107"/>
      <c r="D123" s="125">
        <v>4264</v>
      </c>
      <c r="E123" s="7" t="s">
        <v>236</v>
      </c>
      <c r="F123" s="7"/>
      <c r="G123" s="7"/>
      <c r="H123" s="7"/>
      <c r="I123" s="13"/>
      <c r="J123" s="215">
        <v>28875</v>
      </c>
      <c r="K123" s="222"/>
      <c r="L123" s="215"/>
      <c r="M123" s="222"/>
      <c r="N123" s="223"/>
      <c r="O123" s="224"/>
      <c r="P123" s="215"/>
      <c r="Q123" s="222"/>
      <c r="R123" s="102">
        <f t="shared" si="79"/>
        <v>0</v>
      </c>
      <c r="S123" s="102" t="e">
        <f t="shared" si="80"/>
        <v>#DIV/0!</v>
      </c>
      <c r="T123" s="2"/>
    </row>
    <row r="124" spans="1:21" x14ac:dyDescent="0.25">
      <c r="A124" s="112"/>
      <c r="B124" s="106">
        <v>45</v>
      </c>
      <c r="C124" s="107"/>
      <c r="D124" s="125"/>
      <c r="E124" s="5" t="s">
        <v>148</v>
      </c>
      <c r="F124" s="5"/>
      <c r="G124" s="5"/>
      <c r="H124" s="5"/>
      <c r="I124" s="16"/>
      <c r="J124" s="235">
        <f>J125+K131</f>
        <v>0</v>
      </c>
      <c r="K124" s="254"/>
      <c r="L124" s="235">
        <f>L125+M131</f>
        <v>0</v>
      </c>
      <c r="M124" s="254"/>
      <c r="N124" s="370">
        <f>N125+O131</f>
        <v>0</v>
      </c>
      <c r="O124" s="371"/>
      <c r="P124" s="235">
        <f>P125+Q131</f>
        <v>0</v>
      </c>
      <c r="Q124" s="254"/>
      <c r="R124" s="101" t="e">
        <f t="shared" ref="R124:R126" si="81">P124/J124*100</f>
        <v>#DIV/0!</v>
      </c>
      <c r="S124" s="101" t="e">
        <f t="shared" ref="S124:S126" si="82">P124/N124*100</f>
        <v>#DIV/0!</v>
      </c>
      <c r="T124" s="2"/>
    </row>
    <row r="125" spans="1:21" x14ac:dyDescent="0.25">
      <c r="A125" s="112"/>
      <c r="B125" s="106"/>
      <c r="C125" s="107">
        <v>451</v>
      </c>
      <c r="D125" s="125"/>
      <c r="E125" s="4" t="s">
        <v>149</v>
      </c>
      <c r="F125" s="4"/>
      <c r="G125" s="4"/>
      <c r="H125" s="4"/>
      <c r="I125" s="11"/>
      <c r="J125" s="217">
        <f t="shared" ref="J125" si="83">J126</f>
        <v>0</v>
      </c>
      <c r="K125" s="219"/>
      <c r="L125" s="217">
        <f t="shared" ref="L125" si="84">L126</f>
        <v>0</v>
      </c>
      <c r="M125" s="219"/>
      <c r="N125" s="220">
        <f t="shared" ref="N125" si="85">N126</f>
        <v>0</v>
      </c>
      <c r="O125" s="221"/>
      <c r="P125" s="217">
        <f t="shared" ref="P125" si="86">P126</f>
        <v>0</v>
      </c>
      <c r="Q125" s="219"/>
      <c r="R125" s="102" t="e">
        <f t="shared" si="81"/>
        <v>#DIV/0!</v>
      </c>
      <c r="S125" s="102" t="e">
        <f t="shared" si="82"/>
        <v>#DIV/0!</v>
      </c>
      <c r="T125" s="2"/>
    </row>
    <row r="126" spans="1:21" ht="15.75" thickBot="1" x14ac:dyDescent="0.3">
      <c r="A126" s="129"/>
      <c r="B126" s="130"/>
      <c r="C126" s="131"/>
      <c r="D126" s="132">
        <v>4511</v>
      </c>
      <c r="E126" s="8" t="s">
        <v>149</v>
      </c>
      <c r="F126" s="8"/>
      <c r="G126" s="8"/>
      <c r="H126" s="8"/>
      <c r="I126" s="23"/>
      <c r="J126" s="215"/>
      <c r="K126" s="222"/>
      <c r="L126" s="215"/>
      <c r="M126" s="222"/>
      <c r="N126" s="223"/>
      <c r="O126" s="224"/>
      <c r="P126" s="215"/>
      <c r="Q126" s="222"/>
      <c r="R126" s="102" t="e">
        <f t="shared" si="81"/>
        <v>#DIV/0!</v>
      </c>
      <c r="S126" s="102" t="e">
        <f t="shared" si="82"/>
        <v>#DIV/0!</v>
      </c>
      <c r="T126" s="2"/>
    </row>
    <row r="127" spans="1:21" ht="15.75" thickBot="1" x14ac:dyDescent="0.3">
      <c r="A127" s="300" t="s">
        <v>41</v>
      </c>
      <c r="B127" s="301"/>
      <c r="C127" s="301"/>
      <c r="D127" s="301"/>
      <c r="E127" s="301"/>
      <c r="F127" s="301"/>
      <c r="G127" s="301"/>
      <c r="H127" s="301"/>
      <c r="I127" s="302"/>
      <c r="J127" s="255">
        <f>J63+J115</f>
        <v>1961252.9399999997</v>
      </c>
      <c r="K127" s="255"/>
      <c r="L127" s="255">
        <f>L63+L115</f>
        <v>2250593.7599999998</v>
      </c>
      <c r="M127" s="255"/>
      <c r="N127" s="255">
        <f>N63+N115</f>
        <v>2365349.2599999998</v>
      </c>
      <c r="O127" s="255"/>
      <c r="P127" s="255">
        <f>P63+P115</f>
        <v>2246993.3000000003</v>
      </c>
      <c r="Q127" s="255"/>
      <c r="R127" s="95">
        <f t="shared" ref="R127" si="87">P127/J127*100</f>
        <v>114.56927631170311</v>
      </c>
      <c r="S127" s="95">
        <f>P127/N127*100</f>
        <v>94.996258607492095</v>
      </c>
      <c r="T127" s="2"/>
    </row>
    <row r="128" spans="1:21" x14ac:dyDescent="0.2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5:23" x14ac:dyDescent="0.25">
      <c r="U129" s="2"/>
    </row>
    <row r="130" spans="15:23" x14ac:dyDescent="0.25">
      <c r="O130" s="25"/>
      <c r="U130" s="2"/>
      <c r="W130" s="25"/>
    </row>
    <row r="132" spans="15:23" x14ac:dyDescent="0.25">
      <c r="W132" s="25"/>
    </row>
  </sheetData>
  <customSheetViews>
    <customSheetView guid="{005C429F-8448-44DF-83AD-8A930973E873}">
      <selection activeCell="G12" sqref="G12:L12"/>
      <rowBreaks count="1" manualBreakCount="1">
        <brk id="57" max="16383" man="1"/>
      </rowBreaks>
      <pageMargins left="0.7" right="0.7" top="0.75" bottom="0.75" header="0.3" footer="0.3"/>
      <pageSetup paperSize="9" scale="71" orientation="portrait" r:id="rId1"/>
    </customSheetView>
  </customSheetViews>
  <mergeCells count="464">
    <mergeCell ref="A5:S5"/>
    <mergeCell ref="A6:S6"/>
    <mergeCell ref="A7:S7"/>
    <mergeCell ref="J124:K124"/>
    <mergeCell ref="L124:M124"/>
    <mergeCell ref="N124:O124"/>
    <mergeCell ref="P124:Q124"/>
    <mergeCell ref="J125:K125"/>
    <mergeCell ref="L125:M125"/>
    <mergeCell ref="N125:O125"/>
    <mergeCell ref="P125:Q125"/>
    <mergeCell ref="N32:O32"/>
    <mergeCell ref="P32:Q32"/>
    <mergeCell ref="L112:M112"/>
    <mergeCell ref="L113:M113"/>
    <mergeCell ref="J112:K112"/>
    <mergeCell ref="N112:O112"/>
    <mergeCell ref="P112:Q112"/>
    <mergeCell ref="N64:O64"/>
    <mergeCell ref="P64:Q64"/>
    <mergeCell ref="J77:K77"/>
    <mergeCell ref="N77:O77"/>
    <mergeCell ref="P77:Q77"/>
    <mergeCell ref="J88:K88"/>
    <mergeCell ref="J126:K126"/>
    <mergeCell ref="L126:M126"/>
    <mergeCell ref="N126:O126"/>
    <mergeCell ref="P126:Q126"/>
    <mergeCell ref="J113:K113"/>
    <mergeCell ref="N113:O113"/>
    <mergeCell ref="P113:Q113"/>
    <mergeCell ref="J118:K118"/>
    <mergeCell ref="N118:O118"/>
    <mergeCell ref="P118:Q118"/>
    <mergeCell ref="J116:K116"/>
    <mergeCell ref="N116:O116"/>
    <mergeCell ref="P116:Q116"/>
    <mergeCell ref="J117:K117"/>
    <mergeCell ref="N117:O117"/>
    <mergeCell ref="P117:Q117"/>
    <mergeCell ref="J121:K121"/>
    <mergeCell ref="N121:O121"/>
    <mergeCell ref="P121:Q121"/>
    <mergeCell ref="J119:K119"/>
    <mergeCell ref="N119:O119"/>
    <mergeCell ref="P119:Q119"/>
    <mergeCell ref="J120:K120"/>
    <mergeCell ref="N120:O120"/>
    <mergeCell ref="J105:K105"/>
    <mergeCell ref="N105:O105"/>
    <mergeCell ref="P105:Q105"/>
    <mergeCell ref="J106:K106"/>
    <mergeCell ref="N106:O106"/>
    <mergeCell ref="P106:Q106"/>
    <mergeCell ref="L105:M105"/>
    <mergeCell ref="L106:M106"/>
    <mergeCell ref="J110:K110"/>
    <mergeCell ref="L110:M110"/>
    <mergeCell ref="N110:O110"/>
    <mergeCell ref="P110:Q110"/>
    <mergeCell ref="J103:K103"/>
    <mergeCell ref="N103:O103"/>
    <mergeCell ref="P103:Q103"/>
    <mergeCell ref="J104:K104"/>
    <mergeCell ref="N104:O104"/>
    <mergeCell ref="P104:Q104"/>
    <mergeCell ref="J101:K101"/>
    <mergeCell ref="N101:O101"/>
    <mergeCell ref="P101:Q101"/>
    <mergeCell ref="J102:K102"/>
    <mergeCell ref="N102:O102"/>
    <mergeCell ref="P102:Q102"/>
    <mergeCell ref="L101:M101"/>
    <mergeCell ref="L102:M102"/>
    <mergeCell ref="L103:M103"/>
    <mergeCell ref="L104:M104"/>
    <mergeCell ref="R96:R97"/>
    <mergeCell ref="S96:S97"/>
    <mergeCell ref="R24:R25"/>
    <mergeCell ref="S24:S25"/>
    <mergeCell ref="E28:I29"/>
    <mergeCell ref="J28:K29"/>
    <mergeCell ref="N28:O29"/>
    <mergeCell ref="P28:Q29"/>
    <mergeCell ref="E26:I27"/>
    <mergeCell ref="J26:K27"/>
    <mergeCell ref="N26:O27"/>
    <mergeCell ref="J95:K95"/>
    <mergeCell ref="N95:O95"/>
    <mergeCell ref="P95:Q95"/>
    <mergeCell ref="J93:K93"/>
    <mergeCell ref="N93:O93"/>
    <mergeCell ref="P93:Q93"/>
    <mergeCell ref="J94:K94"/>
    <mergeCell ref="N94:O94"/>
    <mergeCell ref="J89:K89"/>
    <mergeCell ref="N89:O89"/>
    <mergeCell ref="P89:Q89"/>
    <mergeCell ref="J90:K90"/>
    <mergeCell ref="N90:O90"/>
    <mergeCell ref="N100:O100"/>
    <mergeCell ref="P100:Q100"/>
    <mergeCell ref="J98:K98"/>
    <mergeCell ref="N98:O98"/>
    <mergeCell ref="P98:Q98"/>
    <mergeCell ref="L98:M98"/>
    <mergeCell ref="L99:M99"/>
    <mergeCell ref="L100:M100"/>
    <mergeCell ref="P94:Q94"/>
    <mergeCell ref="J96:K97"/>
    <mergeCell ref="N96:O97"/>
    <mergeCell ref="P96:Q97"/>
    <mergeCell ref="J99:K99"/>
    <mergeCell ref="N99:O99"/>
    <mergeCell ref="P99:Q99"/>
    <mergeCell ref="J100:K100"/>
    <mergeCell ref="L86:M86"/>
    <mergeCell ref="J91:K91"/>
    <mergeCell ref="N91:O91"/>
    <mergeCell ref="P91:Q91"/>
    <mergeCell ref="J92:K92"/>
    <mergeCell ref="N92:O92"/>
    <mergeCell ref="P92:Q92"/>
    <mergeCell ref="P90:Q90"/>
    <mergeCell ref="J86:K86"/>
    <mergeCell ref="N86:O86"/>
    <mergeCell ref="P86:Q86"/>
    <mergeCell ref="J87:K87"/>
    <mergeCell ref="N87:O87"/>
    <mergeCell ref="P87:Q87"/>
    <mergeCell ref="L87:M87"/>
    <mergeCell ref="N88:O88"/>
    <mergeCell ref="P88:Q88"/>
    <mergeCell ref="L83:M83"/>
    <mergeCell ref="J84:K84"/>
    <mergeCell ref="N84:O84"/>
    <mergeCell ref="P84:Q84"/>
    <mergeCell ref="J85:K85"/>
    <mergeCell ref="N85:O85"/>
    <mergeCell ref="P85:Q85"/>
    <mergeCell ref="L84:M84"/>
    <mergeCell ref="L85:M85"/>
    <mergeCell ref="E115:I115"/>
    <mergeCell ref="J73:K73"/>
    <mergeCell ref="N73:O73"/>
    <mergeCell ref="P73:Q73"/>
    <mergeCell ref="P71:Q71"/>
    <mergeCell ref="J72:K72"/>
    <mergeCell ref="N72:O72"/>
    <mergeCell ref="P72:Q72"/>
    <mergeCell ref="L71:M71"/>
    <mergeCell ref="L72:M72"/>
    <mergeCell ref="L73:M73"/>
    <mergeCell ref="L74:M74"/>
    <mergeCell ref="J78:K78"/>
    <mergeCell ref="N78:O78"/>
    <mergeCell ref="P78:Q78"/>
    <mergeCell ref="J79:K79"/>
    <mergeCell ref="N79:O79"/>
    <mergeCell ref="P79:Q79"/>
    <mergeCell ref="J75:K75"/>
    <mergeCell ref="N75:O75"/>
    <mergeCell ref="P75:Q75"/>
    <mergeCell ref="J76:K76"/>
    <mergeCell ref="N76:O76"/>
    <mergeCell ref="P76:Q76"/>
    <mergeCell ref="E96:I97"/>
    <mergeCell ref="J66:K66"/>
    <mergeCell ref="N66:O66"/>
    <mergeCell ref="P66:Q66"/>
    <mergeCell ref="J68:K68"/>
    <mergeCell ref="N68:O68"/>
    <mergeCell ref="P68:Q68"/>
    <mergeCell ref="J69:K69"/>
    <mergeCell ref="N69:O69"/>
    <mergeCell ref="P69:Q69"/>
    <mergeCell ref="J70:K70"/>
    <mergeCell ref="N70:O70"/>
    <mergeCell ref="P70:Q70"/>
    <mergeCell ref="L77:M77"/>
    <mergeCell ref="L78:M78"/>
    <mergeCell ref="L79:M79"/>
    <mergeCell ref="L75:M75"/>
    <mergeCell ref="L76:M76"/>
    <mergeCell ref="J82:K82"/>
    <mergeCell ref="N82:O82"/>
    <mergeCell ref="P82:Q82"/>
    <mergeCell ref="J83:K83"/>
    <mergeCell ref="N83:O83"/>
    <mergeCell ref="P83:Q83"/>
    <mergeCell ref="S34:S35"/>
    <mergeCell ref="S38:S39"/>
    <mergeCell ref="R34:R35"/>
    <mergeCell ref="N59:O59"/>
    <mergeCell ref="P59:Q59"/>
    <mergeCell ref="N41:O42"/>
    <mergeCell ref="P41:Q42"/>
    <mergeCell ref="N43:O44"/>
    <mergeCell ref="J127:K127"/>
    <mergeCell ref="N127:O127"/>
    <mergeCell ref="P127:Q127"/>
    <mergeCell ref="J64:K64"/>
    <mergeCell ref="J65:K65"/>
    <mergeCell ref="N65:O65"/>
    <mergeCell ref="P65:Q65"/>
    <mergeCell ref="J80:K80"/>
    <mergeCell ref="N80:O80"/>
    <mergeCell ref="P80:Q80"/>
    <mergeCell ref="J81:K81"/>
    <mergeCell ref="N81:O81"/>
    <mergeCell ref="P81:Q81"/>
    <mergeCell ref="L80:M80"/>
    <mergeCell ref="L81:M81"/>
    <mergeCell ref="L82:M82"/>
    <mergeCell ref="E63:I63"/>
    <mergeCell ref="J63:K63"/>
    <mergeCell ref="N63:O63"/>
    <mergeCell ref="P63:Q63"/>
    <mergeCell ref="S41:S42"/>
    <mergeCell ref="S43:S44"/>
    <mergeCell ref="S45:S46"/>
    <mergeCell ref="S47:S48"/>
    <mergeCell ref="J57:K57"/>
    <mergeCell ref="N61:O61"/>
    <mergeCell ref="P61:Q61"/>
    <mergeCell ref="R41:R42"/>
    <mergeCell ref="R43:R44"/>
    <mergeCell ref="R45:R46"/>
    <mergeCell ref="R47:R48"/>
    <mergeCell ref="L63:M63"/>
    <mergeCell ref="S49:S50"/>
    <mergeCell ref="E51:I52"/>
    <mergeCell ref="J51:K52"/>
    <mergeCell ref="S51:S52"/>
    <mergeCell ref="R49:R50"/>
    <mergeCell ref="R51:R52"/>
    <mergeCell ref="E49:I50"/>
    <mergeCell ref="J49:K50"/>
    <mergeCell ref="R14:R15"/>
    <mergeCell ref="S14:S15"/>
    <mergeCell ref="R16:R17"/>
    <mergeCell ref="R18:R19"/>
    <mergeCell ref="R20:R21"/>
    <mergeCell ref="R30:R31"/>
    <mergeCell ref="N13:O13"/>
    <mergeCell ref="S16:S17"/>
    <mergeCell ref="S18:S19"/>
    <mergeCell ref="S20:S21"/>
    <mergeCell ref="S30:S31"/>
    <mergeCell ref="P26:Q27"/>
    <mergeCell ref="R26:R27"/>
    <mergeCell ref="R28:R29"/>
    <mergeCell ref="S26:S27"/>
    <mergeCell ref="S28:S29"/>
    <mergeCell ref="N30:O31"/>
    <mergeCell ref="P30:Q31"/>
    <mergeCell ref="N22:O22"/>
    <mergeCell ref="P22:Q22"/>
    <mergeCell ref="N23:O23"/>
    <mergeCell ref="P23:Q23"/>
    <mergeCell ref="N24:O25"/>
    <mergeCell ref="P24:Q25"/>
    <mergeCell ref="N36:O36"/>
    <mergeCell ref="P36:Q36"/>
    <mergeCell ref="N11:O11"/>
    <mergeCell ref="P11:Q11"/>
    <mergeCell ref="N60:O60"/>
    <mergeCell ref="P60:Q60"/>
    <mergeCell ref="N57:O57"/>
    <mergeCell ref="P57:Q57"/>
    <mergeCell ref="N58:O58"/>
    <mergeCell ref="P58:Q58"/>
    <mergeCell ref="N45:O46"/>
    <mergeCell ref="P45:Q46"/>
    <mergeCell ref="N47:O48"/>
    <mergeCell ref="P47:Q48"/>
    <mergeCell ref="P49:Q50"/>
    <mergeCell ref="N33:O33"/>
    <mergeCell ref="N51:O52"/>
    <mergeCell ref="P51:Q52"/>
    <mergeCell ref="N49:O50"/>
    <mergeCell ref="P33:Q33"/>
    <mergeCell ref="N34:O35"/>
    <mergeCell ref="P34:Q35"/>
    <mergeCell ref="J9:K10"/>
    <mergeCell ref="N9:O10"/>
    <mergeCell ref="P9:Q10"/>
    <mergeCell ref="N18:O19"/>
    <mergeCell ref="P18:Q19"/>
    <mergeCell ref="N20:O21"/>
    <mergeCell ref="P20:Q21"/>
    <mergeCell ref="N16:O17"/>
    <mergeCell ref="P16:Q17"/>
    <mergeCell ref="N14:O15"/>
    <mergeCell ref="P14:Q15"/>
    <mergeCell ref="P13:Q13"/>
    <mergeCell ref="J11:K11"/>
    <mergeCell ref="J14:K15"/>
    <mergeCell ref="J16:K17"/>
    <mergeCell ref="J18:K19"/>
    <mergeCell ref="J20:K21"/>
    <mergeCell ref="J13:K13"/>
    <mergeCell ref="J22:K22"/>
    <mergeCell ref="J23:K23"/>
    <mergeCell ref="J32:K32"/>
    <mergeCell ref="J33:K33"/>
    <mergeCell ref="J36:K36"/>
    <mergeCell ref="J37:K37"/>
    <mergeCell ref="J30:K31"/>
    <mergeCell ref="J34:K35"/>
    <mergeCell ref="J38:K39"/>
    <mergeCell ref="J24:K25"/>
    <mergeCell ref="E30:I31"/>
    <mergeCell ref="E13:I13"/>
    <mergeCell ref="E14:I15"/>
    <mergeCell ref="E16:I17"/>
    <mergeCell ref="E18:I19"/>
    <mergeCell ref="E20:I21"/>
    <mergeCell ref="E43:I44"/>
    <mergeCell ref="E45:I46"/>
    <mergeCell ref="E24:I25"/>
    <mergeCell ref="E32:I32"/>
    <mergeCell ref="E33:I33"/>
    <mergeCell ref="E40:I40"/>
    <mergeCell ref="E34:I35"/>
    <mergeCell ref="L22:M22"/>
    <mergeCell ref="L23:M23"/>
    <mergeCell ref="L24:M25"/>
    <mergeCell ref="L26:M27"/>
    <mergeCell ref="L28:M29"/>
    <mergeCell ref="L30:M31"/>
    <mergeCell ref="L32:M32"/>
    <mergeCell ref="L33:M33"/>
    <mergeCell ref="L9:M10"/>
    <mergeCell ref="L11:M11"/>
    <mergeCell ref="L13:M13"/>
    <mergeCell ref="L14:M15"/>
    <mergeCell ref="L16:M17"/>
    <mergeCell ref="L18:M19"/>
    <mergeCell ref="L20:M21"/>
    <mergeCell ref="L64:M64"/>
    <mergeCell ref="L65:M65"/>
    <mergeCell ref="L66:M66"/>
    <mergeCell ref="L34:M35"/>
    <mergeCell ref="L36:M36"/>
    <mergeCell ref="L37:M37"/>
    <mergeCell ref="L38:M39"/>
    <mergeCell ref="L40:M40"/>
    <mergeCell ref="L41:M42"/>
    <mergeCell ref="L43:M44"/>
    <mergeCell ref="L45:M46"/>
    <mergeCell ref="L47:M48"/>
    <mergeCell ref="L51:M52"/>
    <mergeCell ref="L49:M50"/>
    <mergeCell ref="A127:I127"/>
    <mergeCell ref="A9:I10"/>
    <mergeCell ref="A11:I11"/>
    <mergeCell ref="A12:I12"/>
    <mergeCell ref="A61:I61"/>
    <mergeCell ref="L119:M119"/>
    <mergeCell ref="L120:M120"/>
    <mergeCell ref="L121:M121"/>
    <mergeCell ref="L127:M127"/>
    <mergeCell ref="L115:M115"/>
    <mergeCell ref="L116:M116"/>
    <mergeCell ref="L117:M117"/>
    <mergeCell ref="L118:M118"/>
    <mergeCell ref="L88:M88"/>
    <mergeCell ref="L89:M89"/>
    <mergeCell ref="L90:M90"/>
    <mergeCell ref="L91:M91"/>
    <mergeCell ref="L92:M92"/>
    <mergeCell ref="L93:M93"/>
    <mergeCell ref="L94:M94"/>
    <mergeCell ref="L95:M95"/>
    <mergeCell ref="L96:M97"/>
    <mergeCell ref="L68:M68"/>
    <mergeCell ref="L69:M69"/>
    <mergeCell ref="R38:R39"/>
    <mergeCell ref="J56:K56"/>
    <mergeCell ref="L56:M56"/>
    <mergeCell ref="N56:O56"/>
    <mergeCell ref="P56:Q56"/>
    <mergeCell ref="N37:O37"/>
    <mergeCell ref="P37:Q37"/>
    <mergeCell ref="N53:O53"/>
    <mergeCell ref="P53:Q53"/>
    <mergeCell ref="N54:O54"/>
    <mergeCell ref="P54:Q54"/>
    <mergeCell ref="N55:O55"/>
    <mergeCell ref="P55:Q55"/>
    <mergeCell ref="J41:K42"/>
    <mergeCell ref="J43:K44"/>
    <mergeCell ref="J45:K46"/>
    <mergeCell ref="J47:K48"/>
    <mergeCell ref="J40:K40"/>
    <mergeCell ref="P43:Q44"/>
    <mergeCell ref="N38:O39"/>
    <mergeCell ref="P38:Q39"/>
    <mergeCell ref="N40:O40"/>
    <mergeCell ref="P40:Q40"/>
    <mergeCell ref="J58:K58"/>
    <mergeCell ref="J59:K59"/>
    <mergeCell ref="J60:K60"/>
    <mergeCell ref="J61:K61"/>
    <mergeCell ref="E37:I37"/>
    <mergeCell ref="L57:M57"/>
    <mergeCell ref="L58:M58"/>
    <mergeCell ref="L59:M59"/>
    <mergeCell ref="L60:M60"/>
    <mergeCell ref="L61:M61"/>
    <mergeCell ref="J53:K53"/>
    <mergeCell ref="L53:M53"/>
    <mergeCell ref="J54:K54"/>
    <mergeCell ref="L54:M54"/>
    <mergeCell ref="J55:K55"/>
    <mergeCell ref="L55:M55"/>
    <mergeCell ref="E47:I48"/>
    <mergeCell ref="E41:I42"/>
    <mergeCell ref="E38:I39"/>
    <mergeCell ref="J67:K67"/>
    <mergeCell ref="L67:M67"/>
    <mergeCell ref="N67:O67"/>
    <mergeCell ref="P67:Q67"/>
    <mergeCell ref="E67:I67"/>
    <mergeCell ref="E107:I107"/>
    <mergeCell ref="J108:K108"/>
    <mergeCell ref="J107:K107"/>
    <mergeCell ref="J109:K109"/>
    <mergeCell ref="L107:M107"/>
    <mergeCell ref="L108:M108"/>
    <mergeCell ref="L109:M109"/>
    <mergeCell ref="N107:O107"/>
    <mergeCell ref="N109:O109"/>
    <mergeCell ref="N108:O108"/>
    <mergeCell ref="P107:Q107"/>
    <mergeCell ref="P108:Q108"/>
    <mergeCell ref="P109:Q109"/>
    <mergeCell ref="L70:M70"/>
    <mergeCell ref="J74:K74"/>
    <mergeCell ref="N74:O74"/>
    <mergeCell ref="P74:Q74"/>
    <mergeCell ref="J71:K71"/>
    <mergeCell ref="N71:O71"/>
    <mergeCell ref="P111:Q111"/>
    <mergeCell ref="J122:K122"/>
    <mergeCell ref="L122:M122"/>
    <mergeCell ref="N122:O122"/>
    <mergeCell ref="P122:Q122"/>
    <mergeCell ref="J123:K123"/>
    <mergeCell ref="L123:M123"/>
    <mergeCell ref="N123:O123"/>
    <mergeCell ref="P123:Q123"/>
    <mergeCell ref="L114:M114"/>
    <mergeCell ref="N114:O114"/>
    <mergeCell ref="P114:Q114"/>
    <mergeCell ref="J115:K115"/>
    <mergeCell ref="N115:O115"/>
    <mergeCell ref="P115:Q115"/>
    <mergeCell ref="P120:Q120"/>
    <mergeCell ref="J114:K114"/>
    <mergeCell ref="J111:K111"/>
    <mergeCell ref="L111:M111"/>
    <mergeCell ref="N111:O111"/>
  </mergeCells>
  <pageMargins left="0.7" right="0.7" top="0.75" bottom="0.75" header="0.3" footer="0.3"/>
  <pageSetup paperSize="9" scale="55" orientation="portrait" verticalDpi="300" r:id="rId2"/>
  <rowBreaks count="1" manualBreakCount="1">
    <brk id="62" max="18" man="1"/>
  </rowBreaks>
  <colBreaks count="1" manualBreakCount="1">
    <brk id="19" max="111" man="1"/>
  </colBreaks>
  <ignoredErrors>
    <ignoredError sqref="O68 L68:M68" formula="1"/>
    <ignoredError sqref="R75:S106 R17:R29 R16 S17:S31 S14:S15 S16 R57:R58 S127 R63:S63 R68:R71 S73:S74 R124:S126 S13 R32:S33 S57:S58 S34:S40 R34:R40 R65:R66 R112:S121 S42 R31 R60 S60:S61 R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zoomScaleNormal="100" workbookViewId="0">
      <selection activeCell="S30" sqref="S30"/>
    </sheetView>
  </sheetViews>
  <sheetFormatPr defaultRowHeight="15" x14ac:dyDescent="0.25"/>
  <cols>
    <col min="1" max="14" width="8.85546875" customWidth="1"/>
    <col min="16" max="16" width="12.7109375" hidden="1" customWidth="1"/>
    <col min="17" max="17" width="11.7109375" hidden="1" customWidth="1"/>
    <col min="18" max="18" width="10.140625" hidden="1" customWidth="1"/>
  </cols>
  <sheetData>
    <row r="1" spans="1:18" x14ac:dyDescent="0.25">
      <c r="A1" s="75" t="s">
        <v>222</v>
      </c>
    </row>
    <row r="2" spans="1:18" x14ac:dyDescent="0.25">
      <c r="A2" s="74" t="s">
        <v>12</v>
      </c>
    </row>
    <row r="3" spans="1:18" x14ac:dyDescent="0.25">
      <c r="A3" s="74" t="s">
        <v>223</v>
      </c>
    </row>
    <row r="5" spans="1:18" x14ac:dyDescent="0.25">
      <c r="A5" s="207" t="s">
        <v>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1:18" x14ac:dyDescent="0.25">
      <c r="A6" s="207" t="s">
        <v>161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60"/>
      <c r="P6" s="60"/>
    </row>
    <row r="7" spans="1:18" x14ac:dyDescent="0.25">
      <c r="A7" s="207" t="s">
        <v>163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1:18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8" ht="15.75" thickBot="1" x14ac:dyDescent="0.3">
      <c r="A9" s="1" t="s">
        <v>123</v>
      </c>
    </row>
    <row r="10" spans="1:18" ht="15" customHeight="1" x14ac:dyDescent="0.25">
      <c r="A10" s="412" t="s">
        <v>150</v>
      </c>
      <c r="B10" s="413"/>
      <c r="C10" s="413"/>
      <c r="D10" s="413"/>
      <c r="E10" s="170" t="s">
        <v>138</v>
      </c>
      <c r="F10" s="171"/>
      <c r="G10" s="170" t="s">
        <v>203</v>
      </c>
      <c r="H10" s="171"/>
      <c r="I10" s="170" t="s">
        <v>204</v>
      </c>
      <c r="J10" s="171"/>
      <c r="K10" s="170" t="s">
        <v>205</v>
      </c>
      <c r="L10" s="171"/>
      <c r="M10" s="17" t="s">
        <v>38</v>
      </c>
      <c r="N10" s="17" t="s">
        <v>38</v>
      </c>
    </row>
    <row r="11" spans="1:18" x14ac:dyDescent="0.25">
      <c r="A11" s="26" t="s">
        <v>124</v>
      </c>
      <c r="B11" s="414" t="s">
        <v>125</v>
      </c>
      <c r="C11" s="414"/>
      <c r="D11" s="414"/>
      <c r="E11" s="172"/>
      <c r="F11" s="173"/>
      <c r="G11" s="172"/>
      <c r="H11" s="173"/>
      <c r="I11" s="172"/>
      <c r="J11" s="173"/>
      <c r="K11" s="172"/>
      <c r="L11" s="173"/>
      <c r="M11" s="20" t="s">
        <v>134</v>
      </c>
      <c r="N11" s="18" t="s">
        <v>136</v>
      </c>
    </row>
    <row r="12" spans="1:18" x14ac:dyDescent="0.25">
      <c r="A12" s="421">
        <v>1</v>
      </c>
      <c r="B12" s="422"/>
      <c r="C12" s="422"/>
      <c r="D12" s="422"/>
      <c r="E12" s="421">
        <v>2</v>
      </c>
      <c r="F12" s="422"/>
      <c r="G12" s="421">
        <v>3</v>
      </c>
      <c r="H12" s="422"/>
      <c r="I12" s="421">
        <v>4</v>
      </c>
      <c r="J12" s="422"/>
      <c r="K12" s="421">
        <v>5</v>
      </c>
      <c r="L12" s="422"/>
      <c r="M12" s="164">
        <v>6</v>
      </c>
      <c r="N12" s="164">
        <v>7</v>
      </c>
    </row>
    <row r="13" spans="1:18" x14ac:dyDescent="0.25">
      <c r="A13" s="141">
        <v>1</v>
      </c>
      <c r="B13" s="393" t="s">
        <v>114</v>
      </c>
      <c r="C13" s="393"/>
      <c r="D13" s="393"/>
      <c r="E13" s="401">
        <f>SUM(E14:F16)</f>
        <v>25367.02</v>
      </c>
      <c r="F13" s="401"/>
      <c r="G13" s="384">
        <f t="shared" ref="G13" si="0">G14+G15+G16</f>
        <v>0</v>
      </c>
      <c r="H13" s="384"/>
      <c r="I13" s="384">
        <f>I14+I15+I16</f>
        <v>41181.47</v>
      </c>
      <c r="J13" s="384"/>
      <c r="K13" s="382">
        <f>K14+K15+K16</f>
        <v>31775.26</v>
      </c>
      <c r="L13" s="382"/>
      <c r="M13" s="165">
        <f>K13/E13*100</f>
        <v>125.26209227571863</v>
      </c>
      <c r="N13" s="165">
        <f>K13/I13*100</f>
        <v>77.159120351944694</v>
      </c>
    </row>
    <row r="14" spans="1:18" x14ac:dyDescent="0.25">
      <c r="A14" s="153">
        <v>11</v>
      </c>
      <c r="B14" s="392" t="s">
        <v>114</v>
      </c>
      <c r="C14" s="392"/>
      <c r="D14" s="392"/>
      <c r="E14" s="401">
        <v>15789.11</v>
      </c>
      <c r="F14" s="401"/>
      <c r="G14" s="401">
        <v>0</v>
      </c>
      <c r="H14" s="401"/>
      <c r="I14" s="401">
        <v>23539.94</v>
      </c>
      <c r="J14" s="401"/>
      <c r="K14" s="383">
        <v>22282.37</v>
      </c>
      <c r="L14" s="383"/>
      <c r="M14" s="166">
        <f>K14/E14*100</f>
        <v>141.1249272441575</v>
      </c>
      <c r="N14" s="166">
        <f>K14/I14*100</f>
        <v>94.6577179041238</v>
      </c>
      <c r="P14" s="25"/>
      <c r="Q14" s="25"/>
      <c r="R14" s="25"/>
    </row>
    <row r="15" spans="1:18" x14ac:dyDescent="0.25">
      <c r="A15" s="153">
        <v>12</v>
      </c>
      <c r="B15" s="392" t="s">
        <v>115</v>
      </c>
      <c r="C15" s="392"/>
      <c r="D15" s="392"/>
      <c r="E15" s="401">
        <v>9577.91</v>
      </c>
      <c r="F15" s="401"/>
      <c r="G15" s="401"/>
      <c r="H15" s="401"/>
      <c r="I15" s="401">
        <v>9492.89</v>
      </c>
      <c r="J15" s="401"/>
      <c r="K15" s="383">
        <v>9492.89</v>
      </c>
      <c r="L15" s="383"/>
      <c r="M15" s="166">
        <f>K15/E15*100</f>
        <v>99.112332439958195</v>
      </c>
      <c r="N15" s="166">
        <f>K15/I15*100</f>
        <v>100</v>
      </c>
      <c r="P15" s="25"/>
      <c r="Q15" s="25"/>
      <c r="R15" s="25"/>
    </row>
    <row r="16" spans="1:18" x14ac:dyDescent="0.25">
      <c r="A16" s="153">
        <v>19</v>
      </c>
      <c r="B16" s="392" t="s">
        <v>116</v>
      </c>
      <c r="C16" s="392"/>
      <c r="D16" s="392"/>
      <c r="E16" s="401">
        <v>0</v>
      </c>
      <c r="F16" s="401"/>
      <c r="G16" s="401">
        <v>0</v>
      </c>
      <c r="H16" s="401"/>
      <c r="I16" s="401">
        <v>8148.64</v>
      </c>
      <c r="J16" s="401"/>
      <c r="K16" s="383">
        <v>0</v>
      </c>
      <c r="L16" s="383"/>
      <c r="M16" s="166" t="e">
        <f t="shared" ref="M16:M25" si="1">K16/E16*100</f>
        <v>#DIV/0!</v>
      </c>
      <c r="N16" s="166">
        <f>K16/I16*100</f>
        <v>0</v>
      </c>
      <c r="P16" s="25"/>
      <c r="Q16" s="25"/>
      <c r="R16" s="25"/>
    </row>
    <row r="17" spans="1:19" x14ac:dyDescent="0.25">
      <c r="A17" s="141">
        <v>3</v>
      </c>
      <c r="B17" s="393" t="s">
        <v>168</v>
      </c>
      <c r="C17" s="393"/>
      <c r="D17" s="393"/>
      <c r="E17" s="401">
        <f>SUM(E18)</f>
        <v>15104.67</v>
      </c>
      <c r="F17" s="401"/>
      <c r="G17" s="384">
        <f t="shared" ref="G17" si="2">G18</f>
        <v>16600</v>
      </c>
      <c r="H17" s="384"/>
      <c r="I17" s="384">
        <f t="shared" ref="I17:K17" si="3">I18</f>
        <v>18100</v>
      </c>
      <c r="J17" s="384"/>
      <c r="K17" s="382">
        <f t="shared" si="3"/>
        <v>14919.28</v>
      </c>
      <c r="L17" s="382"/>
      <c r="M17" s="165">
        <f t="shared" ref="M17" si="4">K17/E17*100</f>
        <v>98.772631245833239</v>
      </c>
      <c r="N17" s="165">
        <f t="shared" ref="N17" si="5">K17/I17*100</f>
        <v>82.426961325966857</v>
      </c>
      <c r="P17" s="25"/>
      <c r="Q17" s="25"/>
      <c r="R17" s="25"/>
    </row>
    <row r="18" spans="1:19" x14ac:dyDescent="0.25">
      <c r="A18" s="153">
        <v>31</v>
      </c>
      <c r="B18" s="392" t="s">
        <v>117</v>
      </c>
      <c r="C18" s="392"/>
      <c r="D18" s="392"/>
      <c r="E18" s="401">
        <v>15104.67</v>
      </c>
      <c r="F18" s="401"/>
      <c r="G18" s="401">
        <v>16600</v>
      </c>
      <c r="H18" s="401"/>
      <c r="I18" s="401">
        <v>18100</v>
      </c>
      <c r="J18" s="401"/>
      <c r="K18" s="383">
        <v>14919.28</v>
      </c>
      <c r="L18" s="383"/>
      <c r="M18" s="166">
        <f t="shared" si="1"/>
        <v>98.772631245833239</v>
      </c>
      <c r="N18" s="166">
        <f t="shared" ref="N18:N30" si="6">K18/I18*100</f>
        <v>82.426961325966857</v>
      </c>
      <c r="P18" s="25"/>
    </row>
    <row r="19" spans="1:19" x14ac:dyDescent="0.25">
      <c r="A19" s="141">
        <v>4</v>
      </c>
      <c r="B19" s="141" t="s">
        <v>112</v>
      </c>
      <c r="C19" s="141"/>
      <c r="D19" s="141"/>
      <c r="E19" s="401">
        <f>SUM(E20:F22)</f>
        <v>242094.75</v>
      </c>
      <c r="F19" s="401"/>
      <c r="G19" s="384">
        <f t="shared" ref="G19" si="7">G20+G21+G22</f>
        <v>150090.12</v>
      </c>
      <c r="H19" s="384"/>
      <c r="I19" s="384">
        <f t="shared" ref="I19:K19" si="8">I20+I21+I22</f>
        <v>167276.13999999998</v>
      </c>
      <c r="J19" s="384"/>
      <c r="K19" s="382">
        <f t="shared" si="8"/>
        <v>164560.24</v>
      </c>
      <c r="L19" s="382"/>
      <c r="M19" s="165">
        <f t="shared" ref="M19" si="9">K19/E19*100</f>
        <v>67.973485587770895</v>
      </c>
      <c r="N19" s="165">
        <f t="shared" ref="N19" si="10">K19/I19*100</f>
        <v>98.376397255460347</v>
      </c>
      <c r="P19" s="25"/>
    </row>
    <row r="20" spans="1:19" x14ac:dyDescent="0.25">
      <c r="A20" s="153">
        <v>41</v>
      </c>
      <c r="B20" s="153" t="s">
        <v>112</v>
      </c>
      <c r="C20" s="153"/>
      <c r="D20" s="153"/>
      <c r="E20" s="401">
        <v>1051.6500000000001</v>
      </c>
      <c r="F20" s="401"/>
      <c r="G20" s="401">
        <v>2900</v>
      </c>
      <c r="H20" s="401"/>
      <c r="I20" s="401">
        <v>2900</v>
      </c>
      <c r="J20" s="401"/>
      <c r="K20" s="383">
        <v>1379.57</v>
      </c>
      <c r="L20" s="383"/>
      <c r="M20" s="166">
        <f t="shared" si="1"/>
        <v>131.18147672704796</v>
      </c>
      <c r="N20" s="166">
        <f t="shared" si="6"/>
        <v>47.571379310344824</v>
      </c>
      <c r="P20" s="25"/>
      <c r="Q20" s="25"/>
      <c r="R20" s="25"/>
    </row>
    <row r="21" spans="1:19" x14ac:dyDescent="0.25">
      <c r="A21" s="153">
        <v>42</v>
      </c>
      <c r="B21" s="153" t="s">
        <v>118</v>
      </c>
      <c r="C21" s="153"/>
      <c r="D21" s="153"/>
      <c r="E21" s="401">
        <v>79846.97</v>
      </c>
      <c r="F21" s="401"/>
      <c r="G21" s="401">
        <v>28081.59</v>
      </c>
      <c r="H21" s="401"/>
      <c r="I21" s="401">
        <v>28081.59</v>
      </c>
      <c r="J21" s="401"/>
      <c r="K21" s="383">
        <v>28081.59</v>
      </c>
      <c r="L21" s="383"/>
      <c r="M21" s="166">
        <f t="shared" si="1"/>
        <v>35.169261901860523</v>
      </c>
      <c r="N21" s="166">
        <f t="shared" si="6"/>
        <v>100</v>
      </c>
      <c r="P21" s="25"/>
      <c r="Q21" s="25"/>
      <c r="R21" s="25"/>
    </row>
    <row r="22" spans="1:19" x14ac:dyDescent="0.25">
      <c r="A22" s="153">
        <v>45</v>
      </c>
      <c r="B22" s="153" t="s">
        <v>119</v>
      </c>
      <c r="C22" s="153"/>
      <c r="D22" s="153"/>
      <c r="E22" s="401">
        <v>161196.13</v>
      </c>
      <c r="F22" s="401"/>
      <c r="G22" s="401">
        <v>119108.53</v>
      </c>
      <c r="H22" s="401"/>
      <c r="I22" s="401">
        <v>136294.54999999999</v>
      </c>
      <c r="J22" s="401"/>
      <c r="K22" s="383">
        <v>135099.07999999999</v>
      </c>
      <c r="L22" s="383"/>
      <c r="M22" s="166">
        <f t="shared" si="1"/>
        <v>83.81037435576151</v>
      </c>
      <c r="N22" s="166">
        <f t="shared" si="6"/>
        <v>99.122877620565163</v>
      </c>
      <c r="P22" s="25"/>
    </row>
    <row r="23" spans="1:19" x14ac:dyDescent="0.25">
      <c r="A23" s="141">
        <v>5</v>
      </c>
      <c r="B23" s="393" t="s">
        <v>169</v>
      </c>
      <c r="C23" s="393"/>
      <c r="D23" s="393"/>
      <c r="E23" s="401">
        <f>SUM(E24:F25)</f>
        <v>1702573.0699999996</v>
      </c>
      <c r="F23" s="401"/>
      <c r="G23" s="384">
        <f t="shared" ref="G23" si="11">G24+G25</f>
        <v>2074403.64</v>
      </c>
      <c r="H23" s="384"/>
      <c r="I23" s="384">
        <f>I24+I25</f>
        <v>2129291.65</v>
      </c>
      <c r="J23" s="384"/>
      <c r="K23" s="382">
        <f>K24+K25</f>
        <v>2083831.1600000001</v>
      </c>
      <c r="L23" s="382"/>
      <c r="M23" s="165">
        <f t="shared" ref="M23" si="12">K23/E23*100</f>
        <v>122.39305300418036</v>
      </c>
      <c r="N23" s="165">
        <f t="shared" ref="N23" si="13">K23/I23*100</f>
        <v>97.864994680273142</v>
      </c>
      <c r="P23" s="25"/>
    </row>
    <row r="24" spans="1:19" x14ac:dyDescent="0.25">
      <c r="A24" s="153">
        <v>51</v>
      </c>
      <c r="B24" s="392" t="s">
        <v>120</v>
      </c>
      <c r="C24" s="392"/>
      <c r="D24" s="392"/>
      <c r="E24" s="401">
        <f>1608752.67+676.41+64505.38+147.48</f>
        <v>1674081.9399999997</v>
      </c>
      <c r="F24" s="401"/>
      <c r="G24" s="401">
        <v>2074403.64</v>
      </c>
      <c r="H24" s="401"/>
      <c r="I24" s="401">
        <v>2078040.75</v>
      </c>
      <c r="J24" s="401"/>
      <c r="K24" s="383">
        <f>22142.33+797+2011066.57+1566+1354.07</f>
        <v>2036925.9700000002</v>
      </c>
      <c r="L24" s="383"/>
      <c r="M24" s="166">
        <f t="shared" si="1"/>
        <v>121.67420968653427</v>
      </c>
      <c r="N24" s="166">
        <f t="shared" si="6"/>
        <v>98.021464208533942</v>
      </c>
      <c r="P24" s="25"/>
      <c r="Q24" s="25"/>
      <c r="R24" s="25"/>
    </row>
    <row r="25" spans="1:19" x14ac:dyDescent="0.25">
      <c r="A25" s="153">
        <v>54</v>
      </c>
      <c r="B25" s="392" t="s">
        <v>121</v>
      </c>
      <c r="C25" s="392"/>
      <c r="D25" s="392"/>
      <c r="E25" s="401">
        <v>28491.13</v>
      </c>
      <c r="F25" s="401"/>
      <c r="G25" s="401">
        <v>0</v>
      </c>
      <c r="H25" s="401"/>
      <c r="I25" s="401">
        <v>51250.9</v>
      </c>
      <c r="J25" s="401"/>
      <c r="K25" s="383">
        <f>39384+7521.19</f>
        <v>46905.19</v>
      </c>
      <c r="L25" s="383"/>
      <c r="M25" s="166">
        <f t="shared" si="1"/>
        <v>164.63085177737773</v>
      </c>
      <c r="N25" s="166">
        <f t="shared" si="6"/>
        <v>91.520714758179849</v>
      </c>
      <c r="P25" s="25"/>
      <c r="Q25" s="25"/>
    </row>
    <row r="26" spans="1:19" x14ac:dyDescent="0.25">
      <c r="A26" s="141">
        <v>6</v>
      </c>
      <c r="B26" s="393" t="s">
        <v>170</v>
      </c>
      <c r="C26" s="393"/>
      <c r="D26" s="393"/>
      <c r="E26" s="401">
        <f>SUM(E27)</f>
        <v>4195.0200000000004</v>
      </c>
      <c r="F26" s="401"/>
      <c r="G26" s="384">
        <f t="shared" ref="G26" si="14">G27</f>
        <v>7000</v>
      </c>
      <c r="H26" s="384"/>
      <c r="I26" s="384">
        <f>I27</f>
        <v>7000</v>
      </c>
      <c r="J26" s="384"/>
      <c r="K26" s="382">
        <f>K27</f>
        <v>6840</v>
      </c>
      <c r="L26" s="382"/>
      <c r="M26" s="165">
        <f>K26/E26*100</f>
        <v>163.05047413361555</v>
      </c>
      <c r="N26" s="165">
        <f t="shared" ref="N26" si="15">K26/I26*100</f>
        <v>97.714285714285708</v>
      </c>
      <c r="P26" s="25"/>
      <c r="Q26" s="25"/>
    </row>
    <row r="27" spans="1:19" x14ac:dyDescent="0.25">
      <c r="A27" s="153">
        <v>61</v>
      </c>
      <c r="B27" s="392" t="s">
        <v>122</v>
      </c>
      <c r="C27" s="392"/>
      <c r="D27" s="392"/>
      <c r="E27" s="401">
        <v>4195.0200000000004</v>
      </c>
      <c r="F27" s="401"/>
      <c r="G27" s="401">
        <v>7000</v>
      </c>
      <c r="H27" s="401"/>
      <c r="I27" s="419">
        <v>7000</v>
      </c>
      <c r="J27" s="419"/>
      <c r="K27" s="383">
        <v>6840</v>
      </c>
      <c r="L27" s="383"/>
      <c r="M27" s="166">
        <f>K27/E27*100</f>
        <v>163.05047413361555</v>
      </c>
      <c r="N27" s="166">
        <f t="shared" si="6"/>
        <v>97.714285714285708</v>
      </c>
      <c r="P27" s="25"/>
      <c r="Q27" s="25"/>
    </row>
    <row r="28" spans="1:19" s="74" customFormat="1" x14ac:dyDescent="0.25">
      <c r="A28" s="141">
        <v>7</v>
      </c>
      <c r="B28" s="393" t="s">
        <v>237</v>
      </c>
      <c r="C28" s="393"/>
      <c r="D28" s="393"/>
      <c r="E28" s="384">
        <f>SUM(E29)</f>
        <v>0</v>
      </c>
      <c r="F28" s="384"/>
      <c r="G28" s="384">
        <f>SUM(G29)</f>
        <v>2500</v>
      </c>
      <c r="H28" s="384"/>
      <c r="I28" s="384">
        <f>SUM(I29)</f>
        <v>2500</v>
      </c>
      <c r="J28" s="384"/>
      <c r="K28" s="382">
        <f>SUM(K29)</f>
        <v>0</v>
      </c>
      <c r="L28" s="382"/>
      <c r="M28" s="166" t="e">
        <f t="shared" ref="M28:M29" si="16">K28/E28*100</f>
        <v>#DIV/0!</v>
      </c>
      <c r="N28" s="166">
        <f t="shared" si="6"/>
        <v>0</v>
      </c>
      <c r="P28" s="25"/>
      <c r="Q28" s="25"/>
    </row>
    <row r="29" spans="1:19" s="74" customFormat="1" x14ac:dyDescent="0.25">
      <c r="A29" s="153">
        <v>71</v>
      </c>
      <c r="B29" s="385" t="s">
        <v>237</v>
      </c>
      <c r="C29" s="385"/>
      <c r="D29" s="385"/>
      <c r="E29" s="419">
        <v>0</v>
      </c>
      <c r="F29" s="419"/>
      <c r="G29" s="419">
        <v>2500</v>
      </c>
      <c r="H29" s="419"/>
      <c r="I29" s="419">
        <v>2500</v>
      </c>
      <c r="J29" s="419"/>
      <c r="K29" s="383">
        <v>0</v>
      </c>
      <c r="L29" s="383"/>
      <c r="M29" s="166" t="e">
        <f t="shared" si="16"/>
        <v>#DIV/0!</v>
      </c>
      <c r="N29" s="166">
        <f t="shared" si="6"/>
        <v>0</v>
      </c>
      <c r="P29" s="25"/>
      <c r="Q29" s="25"/>
    </row>
    <row r="30" spans="1:19" ht="15.75" thickBot="1" x14ac:dyDescent="0.3">
      <c r="A30" s="420" t="s">
        <v>113</v>
      </c>
      <c r="B30" s="420"/>
      <c r="C30" s="420"/>
      <c r="D30" s="420"/>
      <c r="E30" s="402">
        <f>SUM(E13+E17+E19+E23+E26+E28)</f>
        <v>1989334.5299999996</v>
      </c>
      <c r="F30" s="407"/>
      <c r="G30" s="402">
        <f>SUM(G13+G17+G19+G23+G26+G28)</f>
        <v>2250593.7599999998</v>
      </c>
      <c r="H30" s="403"/>
      <c r="I30" s="402">
        <f>SUM(I13+I17+I19+I23+I26+I28)</f>
        <v>2365349.2599999998</v>
      </c>
      <c r="J30" s="403"/>
      <c r="K30" s="408">
        <f>SUM(K13+K17+K19+K23+K26+K28)</f>
        <v>2301925.94</v>
      </c>
      <c r="L30" s="409"/>
      <c r="M30" s="163">
        <f>K30/E30*100</f>
        <v>115.71336571531789</v>
      </c>
      <c r="N30" s="163">
        <f t="shared" si="6"/>
        <v>97.318648832435002</v>
      </c>
      <c r="Q30" s="25"/>
      <c r="R30" s="25"/>
      <c r="S30" s="25"/>
    </row>
    <row r="31" spans="1:19" x14ac:dyDescent="0.25">
      <c r="E31" s="74"/>
      <c r="F31" s="74"/>
      <c r="P31" s="25"/>
    </row>
    <row r="32" spans="1:19" ht="15.75" thickBot="1" x14ac:dyDescent="0.3">
      <c r="A32" s="1" t="s">
        <v>172</v>
      </c>
      <c r="E32" s="74"/>
      <c r="F32" s="74"/>
      <c r="Q32" s="25"/>
      <c r="R32" s="25"/>
    </row>
    <row r="33" spans="1:18" ht="15" customHeight="1" x14ac:dyDescent="0.25">
      <c r="A33" s="412" t="s">
        <v>150</v>
      </c>
      <c r="B33" s="413"/>
      <c r="C33" s="413"/>
      <c r="D33" s="413"/>
      <c r="E33" s="170" t="s">
        <v>205</v>
      </c>
      <c r="F33" s="171"/>
      <c r="G33" s="170" t="s">
        <v>203</v>
      </c>
      <c r="H33" s="171"/>
      <c r="I33" s="170" t="s">
        <v>204</v>
      </c>
      <c r="J33" s="171"/>
      <c r="K33" s="170" t="s">
        <v>205</v>
      </c>
      <c r="L33" s="171"/>
      <c r="M33" s="17" t="s">
        <v>38</v>
      </c>
      <c r="N33" s="17" t="s">
        <v>38</v>
      </c>
    </row>
    <row r="34" spans="1:18" x14ac:dyDescent="0.25">
      <c r="A34" s="26" t="s">
        <v>124</v>
      </c>
      <c r="B34" s="414" t="s">
        <v>125</v>
      </c>
      <c r="C34" s="414"/>
      <c r="D34" s="414"/>
      <c r="E34" s="172"/>
      <c r="F34" s="173"/>
      <c r="G34" s="172"/>
      <c r="H34" s="173"/>
      <c r="I34" s="172"/>
      <c r="J34" s="173"/>
      <c r="K34" s="172"/>
      <c r="L34" s="173"/>
      <c r="M34" s="20" t="s">
        <v>134</v>
      </c>
      <c r="N34" s="18" t="s">
        <v>135</v>
      </c>
      <c r="P34" s="25"/>
    </row>
    <row r="35" spans="1:18" ht="15.75" thickBot="1" x14ac:dyDescent="0.3">
      <c r="A35" s="305">
        <v>1</v>
      </c>
      <c r="B35" s="306"/>
      <c r="C35" s="306"/>
      <c r="D35" s="306"/>
      <c r="E35" s="305">
        <v>5</v>
      </c>
      <c r="F35" s="306"/>
      <c r="G35" s="305">
        <v>3</v>
      </c>
      <c r="H35" s="306"/>
      <c r="I35" s="305">
        <v>4</v>
      </c>
      <c r="J35" s="306"/>
      <c r="K35" s="305">
        <v>5</v>
      </c>
      <c r="L35" s="306"/>
      <c r="M35" s="19">
        <v>6</v>
      </c>
      <c r="N35" s="19">
        <v>7</v>
      </c>
    </row>
    <row r="36" spans="1:18" x14ac:dyDescent="0.25">
      <c r="A36" s="65">
        <v>1</v>
      </c>
      <c r="B36" s="417" t="s">
        <v>114</v>
      </c>
      <c r="C36" s="417"/>
      <c r="D36" s="418"/>
      <c r="E36" s="415">
        <f>SUM(E37:F39)</f>
        <v>25249.190000000002</v>
      </c>
      <c r="F36" s="416"/>
      <c r="G36" s="415">
        <f t="shared" ref="G36" si="17">G37+G38+G39</f>
        <v>0</v>
      </c>
      <c r="H36" s="416"/>
      <c r="I36" s="415">
        <f>I37+I38+I39</f>
        <v>41181.47</v>
      </c>
      <c r="J36" s="416"/>
      <c r="K36" s="415">
        <f>K37+K38+K39</f>
        <v>31775.26</v>
      </c>
      <c r="L36" s="416"/>
      <c r="M36" s="66">
        <f>K36/E36*100</f>
        <v>125.84665092226719</v>
      </c>
      <c r="N36" s="66">
        <f>K36/I36*100</f>
        <v>77.159120351944694</v>
      </c>
    </row>
    <row r="37" spans="1:18" x14ac:dyDescent="0.25">
      <c r="A37" s="9">
        <v>11</v>
      </c>
      <c r="B37" s="342" t="s">
        <v>114</v>
      </c>
      <c r="C37" s="342"/>
      <c r="D37" s="343"/>
      <c r="E37" s="177">
        <v>15671.28</v>
      </c>
      <c r="F37" s="178"/>
      <c r="G37" s="177">
        <v>0</v>
      </c>
      <c r="H37" s="178"/>
      <c r="I37" s="177">
        <v>23539.94</v>
      </c>
      <c r="J37" s="178"/>
      <c r="K37" s="177">
        <v>22282.37</v>
      </c>
      <c r="L37" s="178"/>
      <c r="M37" s="58">
        <f>K37/E37*100</f>
        <v>142.18602437069595</v>
      </c>
      <c r="N37" s="58">
        <f>K37/I37*100</f>
        <v>94.6577179041238</v>
      </c>
    </row>
    <row r="38" spans="1:18" x14ac:dyDescent="0.25">
      <c r="A38" s="10">
        <v>12</v>
      </c>
      <c r="B38" s="4" t="s">
        <v>115</v>
      </c>
      <c r="C38" s="4"/>
      <c r="D38" s="4"/>
      <c r="E38" s="177">
        <v>9577.91</v>
      </c>
      <c r="F38" s="178"/>
      <c r="G38" s="177">
        <v>0</v>
      </c>
      <c r="H38" s="178"/>
      <c r="I38" s="177">
        <v>9492.89</v>
      </c>
      <c r="J38" s="178"/>
      <c r="K38" s="177">
        <v>9492.89</v>
      </c>
      <c r="L38" s="178"/>
      <c r="M38" s="34">
        <f>K38/E38*100</f>
        <v>99.112332439958195</v>
      </c>
      <c r="N38" s="34">
        <f>K38/I38*100</f>
        <v>100</v>
      </c>
    </row>
    <row r="39" spans="1:18" x14ac:dyDescent="0.25">
      <c r="A39" s="10">
        <v>19</v>
      </c>
      <c r="B39" s="342" t="s">
        <v>116</v>
      </c>
      <c r="C39" s="342"/>
      <c r="D39" s="343"/>
      <c r="E39" s="177">
        <v>0</v>
      </c>
      <c r="F39" s="178"/>
      <c r="G39" s="177">
        <v>0</v>
      </c>
      <c r="H39" s="178"/>
      <c r="I39" s="177">
        <v>8148.64</v>
      </c>
      <c r="J39" s="178"/>
      <c r="K39" s="177">
        <v>0</v>
      </c>
      <c r="L39" s="178"/>
      <c r="M39" s="34" t="e">
        <f t="shared" ref="M39:M48" si="18">K39/E39*100</f>
        <v>#DIV/0!</v>
      </c>
      <c r="N39" s="34">
        <f t="shared" ref="N39:N52" si="19">K39/I39*100</f>
        <v>0</v>
      </c>
    </row>
    <row r="40" spans="1:18" x14ac:dyDescent="0.25">
      <c r="A40" s="15">
        <v>3</v>
      </c>
      <c r="B40" s="242" t="s">
        <v>168</v>
      </c>
      <c r="C40" s="242"/>
      <c r="D40" s="243"/>
      <c r="E40" s="398">
        <f>SUM(E41)</f>
        <v>6801.55</v>
      </c>
      <c r="F40" s="395"/>
      <c r="G40" s="398">
        <f t="shared" ref="G40" si="20">G41</f>
        <v>16600</v>
      </c>
      <c r="H40" s="395"/>
      <c r="I40" s="398">
        <f t="shared" ref="I40" si="21">I41</f>
        <v>18100</v>
      </c>
      <c r="J40" s="395"/>
      <c r="K40" s="398">
        <f t="shared" ref="K40" si="22">K41</f>
        <v>6259.89</v>
      </c>
      <c r="L40" s="395"/>
      <c r="M40" s="33">
        <f>K40/E40*100</f>
        <v>92.036227036484334</v>
      </c>
      <c r="N40" s="33">
        <f t="shared" si="19"/>
        <v>34.585027624309397</v>
      </c>
    </row>
    <row r="41" spans="1:18" x14ac:dyDescent="0.25">
      <c r="A41" s="10">
        <v>31</v>
      </c>
      <c r="B41" s="4" t="s">
        <v>117</v>
      </c>
      <c r="C41" s="4"/>
      <c r="D41" s="4"/>
      <c r="E41" s="177">
        <v>6801.55</v>
      </c>
      <c r="F41" s="178"/>
      <c r="G41" s="177">
        <v>16600</v>
      </c>
      <c r="H41" s="178"/>
      <c r="I41" s="177">
        <v>18100</v>
      </c>
      <c r="J41" s="178"/>
      <c r="K41" s="177">
        <v>6259.89</v>
      </c>
      <c r="L41" s="178"/>
      <c r="M41" s="34">
        <f t="shared" si="18"/>
        <v>92.036227036484334</v>
      </c>
      <c r="N41" s="34">
        <f>K41/I41*100</f>
        <v>34.585027624309397</v>
      </c>
    </row>
    <row r="42" spans="1:18" x14ac:dyDescent="0.25">
      <c r="A42" s="15">
        <v>4</v>
      </c>
      <c r="B42" s="5" t="s">
        <v>112</v>
      </c>
      <c r="C42" s="5"/>
      <c r="D42" s="5"/>
      <c r="E42" s="398">
        <f>SUM(E43:F45)</f>
        <v>231521.53</v>
      </c>
      <c r="F42" s="395"/>
      <c r="G42" s="398">
        <f t="shared" ref="G42" si="23">G43+G44+G45</f>
        <v>150090.12</v>
      </c>
      <c r="H42" s="395"/>
      <c r="I42" s="398">
        <f t="shared" ref="I42" si="24">I43+I44+I45</f>
        <v>167276.13999999998</v>
      </c>
      <c r="J42" s="395"/>
      <c r="K42" s="398">
        <f t="shared" ref="K42" si="25">K43+K44+K45</f>
        <v>151638.71999999997</v>
      </c>
      <c r="L42" s="395"/>
      <c r="M42" s="33">
        <f t="shared" si="18"/>
        <v>65.496595500211129</v>
      </c>
      <c r="N42" s="33">
        <f t="shared" si="19"/>
        <v>90.651733116271089</v>
      </c>
    </row>
    <row r="43" spans="1:18" x14ac:dyDescent="0.25">
      <c r="A43" s="10">
        <v>41</v>
      </c>
      <c r="B43" s="4" t="s">
        <v>112</v>
      </c>
      <c r="C43" s="4"/>
      <c r="D43" s="4"/>
      <c r="E43" s="177">
        <v>0</v>
      </c>
      <c r="F43" s="178"/>
      <c r="G43" s="177">
        <v>2900</v>
      </c>
      <c r="H43" s="178"/>
      <c r="I43" s="177">
        <v>2900</v>
      </c>
      <c r="J43" s="178"/>
      <c r="K43" s="177">
        <v>0</v>
      </c>
      <c r="L43" s="178"/>
      <c r="M43" s="34" t="e">
        <f t="shared" si="18"/>
        <v>#DIV/0!</v>
      </c>
      <c r="N43" s="34">
        <f t="shared" si="19"/>
        <v>0</v>
      </c>
    </row>
    <row r="44" spans="1:18" x14ac:dyDescent="0.25">
      <c r="A44" s="10">
        <v>42</v>
      </c>
      <c r="B44" s="4" t="s">
        <v>118</v>
      </c>
      <c r="C44" s="4"/>
      <c r="D44" s="4"/>
      <c r="E44" s="410">
        <v>70084.25</v>
      </c>
      <c r="F44" s="411"/>
      <c r="G44" s="177">
        <v>28081.59</v>
      </c>
      <c r="H44" s="178"/>
      <c r="I44" s="177">
        <v>28081.59</v>
      </c>
      <c r="J44" s="178"/>
      <c r="K44" s="177">
        <v>16539.64</v>
      </c>
      <c r="L44" s="178"/>
      <c r="M44" s="34">
        <f t="shared" si="18"/>
        <v>23.599653274451821</v>
      </c>
      <c r="N44" s="34">
        <f t="shared" si="19"/>
        <v>58.898516786264587</v>
      </c>
      <c r="P44" s="25"/>
    </row>
    <row r="45" spans="1:18" x14ac:dyDescent="0.25">
      <c r="A45" s="10">
        <v>45</v>
      </c>
      <c r="B45" s="4" t="s">
        <v>119</v>
      </c>
      <c r="C45" s="4"/>
      <c r="D45" s="4"/>
      <c r="E45" s="177">
        <v>161437.28</v>
      </c>
      <c r="F45" s="178"/>
      <c r="G45" s="177">
        <v>119108.53</v>
      </c>
      <c r="H45" s="178"/>
      <c r="I45" s="177">
        <v>136294.54999999999</v>
      </c>
      <c r="J45" s="178"/>
      <c r="K45" s="177">
        <v>135099.07999999999</v>
      </c>
      <c r="L45" s="178"/>
      <c r="M45" s="34">
        <f t="shared" si="18"/>
        <v>83.685181018907144</v>
      </c>
      <c r="N45" s="34">
        <f t="shared" si="19"/>
        <v>99.122877620565163</v>
      </c>
    </row>
    <row r="46" spans="1:18" x14ac:dyDescent="0.25">
      <c r="A46" s="15">
        <v>5</v>
      </c>
      <c r="B46" s="242" t="s">
        <v>169</v>
      </c>
      <c r="C46" s="242"/>
      <c r="D46" s="243"/>
      <c r="E46" s="398">
        <f>SUM(E47:F48)</f>
        <v>1693485.65</v>
      </c>
      <c r="F46" s="395"/>
      <c r="G46" s="398">
        <f t="shared" ref="G46" si="26">G47+G48</f>
        <v>2074403.64</v>
      </c>
      <c r="H46" s="395"/>
      <c r="I46" s="398">
        <f>I47+I48</f>
        <v>2129291.65</v>
      </c>
      <c r="J46" s="395"/>
      <c r="K46" s="398">
        <f>K47+K48</f>
        <v>2051479.43</v>
      </c>
      <c r="L46" s="395"/>
      <c r="M46" s="33">
        <f t="shared" si="18"/>
        <v>121.13946344924742</v>
      </c>
      <c r="N46" s="33">
        <f t="shared" si="19"/>
        <v>96.345628838585824</v>
      </c>
    </row>
    <row r="47" spans="1:18" x14ac:dyDescent="0.25">
      <c r="A47" s="10">
        <v>51</v>
      </c>
      <c r="B47" s="342" t="s">
        <v>120</v>
      </c>
      <c r="C47" s="342"/>
      <c r="D47" s="343"/>
      <c r="E47" s="177">
        <f>64435.25+1608752.67</f>
        <v>1673187.92</v>
      </c>
      <c r="F47" s="178"/>
      <c r="G47" s="177">
        <v>2074403.64</v>
      </c>
      <c r="H47" s="178"/>
      <c r="I47" s="177">
        <v>2078040.75</v>
      </c>
      <c r="J47" s="178"/>
      <c r="K47" s="177">
        <v>2036362.28</v>
      </c>
      <c r="L47" s="178"/>
      <c r="M47" s="34">
        <f t="shared" si="18"/>
        <v>121.70553323143763</v>
      </c>
      <c r="N47" s="34">
        <f t="shared" si="19"/>
        <v>97.994338176477044</v>
      </c>
    </row>
    <row r="48" spans="1:18" s="74" customFormat="1" x14ac:dyDescent="0.25">
      <c r="A48" s="10">
        <v>54</v>
      </c>
      <c r="B48" s="342" t="s">
        <v>121</v>
      </c>
      <c r="C48" s="342"/>
      <c r="D48" s="343"/>
      <c r="E48" s="177">
        <v>20297.73</v>
      </c>
      <c r="F48" s="178"/>
      <c r="G48" s="177">
        <v>0</v>
      </c>
      <c r="H48" s="178"/>
      <c r="I48" s="177">
        <v>51250.9</v>
      </c>
      <c r="J48" s="178"/>
      <c r="K48" s="177">
        <v>15117.15</v>
      </c>
      <c r="L48" s="178"/>
      <c r="M48" s="34">
        <f t="shared" si="18"/>
        <v>74.47704743338295</v>
      </c>
      <c r="N48" s="34">
        <f t="shared" si="19"/>
        <v>29.496360063920829</v>
      </c>
      <c r="Q48"/>
      <c r="R48"/>
    </row>
    <row r="49" spans="1:18" s="74" customFormat="1" x14ac:dyDescent="0.25">
      <c r="A49" s="141">
        <v>6</v>
      </c>
      <c r="B49" s="423" t="s">
        <v>170</v>
      </c>
      <c r="C49" s="242"/>
      <c r="D49" s="424"/>
      <c r="E49" s="425">
        <f>SUM(E50)</f>
        <v>4195.0200000000004</v>
      </c>
      <c r="F49" s="178"/>
      <c r="G49" s="426">
        <f t="shared" ref="G49" si="27">G50</f>
        <v>7000</v>
      </c>
      <c r="H49" s="427"/>
      <c r="I49" s="398">
        <f>I50</f>
        <v>7000</v>
      </c>
      <c r="J49" s="395"/>
      <c r="K49" s="398">
        <f>K50</f>
        <v>5840</v>
      </c>
      <c r="L49" s="395"/>
      <c r="M49" s="33">
        <f>K49/E49*100</f>
        <v>139.2126855175899</v>
      </c>
      <c r="N49" s="33">
        <f t="shared" si="19"/>
        <v>83.428571428571431</v>
      </c>
    </row>
    <row r="50" spans="1:18" s="74" customFormat="1" x14ac:dyDescent="0.25">
      <c r="A50" s="142">
        <v>61</v>
      </c>
      <c r="B50" s="392" t="s">
        <v>122</v>
      </c>
      <c r="C50" s="392"/>
      <c r="D50" s="392"/>
      <c r="E50" s="397">
        <v>4195.0200000000004</v>
      </c>
      <c r="F50" s="176"/>
      <c r="G50" s="388">
        <v>7000</v>
      </c>
      <c r="H50" s="389"/>
      <c r="I50" s="388">
        <v>7000</v>
      </c>
      <c r="J50" s="389"/>
      <c r="K50" s="388">
        <v>5840</v>
      </c>
      <c r="L50" s="389"/>
      <c r="M50" s="34">
        <f>K50/E50*100</f>
        <v>139.2126855175899</v>
      </c>
      <c r="N50" s="33">
        <f t="shared" si="19"/>
        <v>83.428571428571431</v>
      </c>
      <c r="P50" s="25"/>
      <c r="Q50" s="25"/>
    </row>
    <row r="51" spans="1:18" s="74" customFormat="1" x14ac:dyDescent="0.25">
      <c r="A51" s="141">
        <v>7</v>
      </c>
      <c r="B51" s="393" t="s">
        <v>237</v>
      </c>
      <c r="C51" s="393"/>
      <c r="D51" s="393"/>
      <c r="E51" s="394">
        <f>SUM(E52)</f>
        <v>0</v>
      </c>
      <c r="F51" s="395"/>
      <c r="G51" s="394">
        <f t="shared" ref="G51" si="28">SUM(G52)</f>
        <v>2500</v>
      </c>
      <c r="H51" s="395"/>
      <c r="I51" s="396">
        <f>SUM(I52)</f>
        <v>2500</v>
      </c>
      <c r="J51" s="395"/>
      <c r="K51" s="396">
        <f>SUM(K52)</f>
        <v>0</v>
      </c>
      <c r="L51" s="395"/>
      <c r="M51" s="34" t="e">
        <f t="shared" ref="M51:M52" si="29">K51/E51*100</f>
        <v>#DIV/0!</v>
      </c>
      <c r="N51" s="33">
        <f t="shared" si="19"/>
        <v>0</v>
      </c>
      <c r="P51" s="25"/>
      <c r="Q51" s="25"/>
    </row>
    <row r="52" spans="1:18" s="74" customFormat="1" ht="15.75" thickBot="1" x14ac:dyDescent="0.3">
      <c r="A52" s="142">
        <v>71</v>
      </c>
      <c r="B52" s="385" t="s">
        <v>237</v>
      </c>
      <c r="C52" s="385"/>
      <c r="D52" s="385"/>
      <c r="E52" s="386">
        <v>0</v>
      </c>
      <c r="F52" s="387"/>
      <c r="G52" s="388">
        <v>2500</v>
      </c>
      <c r="H52" s="389"/>
      <c r="I52" s="388">
        <v>2500</v>
      </c>
      <c r="J52" s="389"/>
      <c r="K52" s="390">
        <v>0</v>
      </c>
      <c r="L52" s="391"/>
      <c r="M52" s="34" t="e">
        <f t="shared" si="29"/>
        <v>#DIV/0!</v>
      </c>
      <c r="N52" s="33">
        <f t="shared" si="19"/>
        <v>0</v>
      </c>
      <c r="P52" s="25"/>
      <c r="Q52" s="25"/>
    </row>
    <row r="53" spans="1:18" s="74" customFormat="1" ht="15.75" thickBot="1" x14ac:dyDescent="0.3">
      <c r="A53" s="404" t="s">
        <v>113</v>
      </c>
      <c r="B53" s="405"/>
      <c r="C53" s="405"/>
      <c r="D53" s="406"/>
      <c r="E53" s="399">
        <f>E36+E40+E42+E46+E50+E51</f>
        <v>1961252.94</v>
      </c>
      <c r="F53" s="400"/>
      <c r="G53" s="399">
        <f>SUM(G36+G40+G42+G46+G49+G51)</f>
        <v>2250593.7599999998</v>
      </c>
      <c r="H53" s="400"/>
      <c r="I53" s="399">
        <f>SUM(I36+I40+I42+I46+I49+I51)</f>
        <v>2365349.2599999998</v>
      </c>
      <c r="J53" s="400"/>
      <c r="K53" s="399">
        <f>SUM(K36+K40+K42+K46+K49+K51)</f>
        <v>2246993.2999999998</v>
      </c>
      <c r="L53" s="400"/>
      <c r="M53" s="39">
        <f t="shared" ref="M53" si="30">K53/E53*100</f>
        <v>114.56927631170306</v>
      </c>
      <c r="N53" s="39">
        <f t="shared" ref="N53" si="31">K53/I53*100</f>
        <v>94.996258607492067</v>
      </c>
      <c r="P53" s="25"/>
      <c r="Q53"/>
      <c r="R53"/>
    </row>
    <row r="54" spans="1:18" s="74" customFormat="1" x14ac:dyDescent="0.25">
      <c r="Q54"/>
      <c r="R54"/>
    </row>
  </sheetData>
  <customSheetViews>
    <customSheetView guid="{005C429F-8448-44DF-83AD-8A930973E873}" topLeftCell="A4">
      <selection activeCell="O19" sqref="O19"/>
      <pageMargins left="0.7" right="0.7" top="0.75" bottom="0.75" header="0.3" footer="0.3"/>
      <pageSetup paperSize="9" scale="82" orientation="portrait" r:id="rId1"/>
    </customSheetView>
  </customSheetViews>
  <mergeCells count="195">
    <mergeCell ref="B39:D39"/>
    <mergeCell ref="B40:D40"/>
    <mergeCell ref="B46:D46"/>
    <mergeCell ref="B47:D47"/>
    <mergeCell ref="B48:D48"/>
    <mergeCell ref="B49:D49"/>
    <mergeCell ref="E49:F49"/>
    <mergeCell ref="G49:H49"/>
    <mergeCell ref="I49:J49"/>
    <mergeCell ref="K49:L49"/>
    <mergeCell ref="I21:J21"/>
    <mergeCell ref="K21:L21"/>
    <mergeCell ref="I16:J16"/>
    <mergeCell ref="K16:L16"/>
    <mergeCell ref="I18:J18"/>
    <mergeCell ref="E17:F17"/>
    <mergeCell ref="G21:H21"/>
    <mergeCell ref="E21:F21"/>
    <mergeCell ref="G20:H20"/>
    <mergeCell ref="G17:H17"/>
    <mergeCell ref="I17:J17"/>
    <mergeCell ref="K17:L17"/>
    <mergeCell ref="E19:F19"/>
    <mergeCell ref="G19:H19"/>
    <mergeCell ref="I19:J19"/>
    <mergeCell ref="K19:L19"/>
    <mergeCell ref="K18:L18"/>
    <mergeCell ref="I20:J20"/>
    <mergeCell ref="K20:L20"/>
    <mergeCell ref="E16:F16"/>
    <mergeCell ref="E18:F18"/>
    <mergeCell ref="E20:F20"/>
    <mergeCell ref="K36:L36"/>
    <mergeCell ref="A7:N7"/>
    <mergeCell ref="A12:D12"/>
    <mergeCell ref="E12:F12"/>
    <mergeCell ref="I12:J12"/>
    <mergeCell ref="K12:L12"/>
    <mergeCell ref="A10:D10"/>
    <mergeCell ref="B11:D11"/>
    <mergeCell ref="E14:F14"/>
    <mergeCell ref="E15:F15"/>
    <mergeCell ref="G10:H11"/>
    <mergeCell ref="E10:F11"/>
    <mergeCell ref="I10:J11"/>
    <mergeCell ref="K10:L11"/>
    <mergeCell ref="G12:H12"/>
    <mergeCell ref="K14:L14"/>
    <mergeCell ref="I15:J15"/>
    <mergeCell ref="E13:F13"/>
    <mergeCell ref="G13:H13"/>
    <mergeCell ref="I13:J13"/>
    <mergeCell ref="K13:L13"/>
    <mergeCell ref="G14:H14"/>
    <mergeCell ref="G15:H15"/>
    <mergeCell ref="K15:L15"/>
    <mergeCell ref="I14:J14"/>
    <mergeCell ref="A30:D30"/>
    <mergeCell ref="E22:F22"/>
    <mergeCell ref="E24:F24"/>
    <mergeCell ref="E25:F25"/>
    <mergeCell ref="E27:F27"/>
    <mergeCell ref="G22:H22"/>
    <mergeCell ref="G24:H24"/>
    <mergeCell ref="I24:J24"/>
    <mergeCell ref="K24:L24"/>
    <mergeCell ref="I22:J22"/>
    <mergeCell ref="E26:F26"/>
    <mergeCell ref="G26:H26"/>
    <mergeCell ref="I26:J26"/>
    <mergeCell ref="K26:L26"/>
    <mergeCell ref="I25:J25"/>
    <mergeCell ref="K25:L25"/>
    <mergeCell ref="I28:J28"/>
    <mergeCell ref="G29:H29"/>
    <mergeCell ref="I27:J27"/>
    <mergeCell ref="K27:L27"/>
    <mergeCell ref="B29:D29"/>
    <mergeCell ref="B28:D28"/>
    <mergeCell ref="G23:H23"/>
    <mergeCell ref="I23:J23"/>
    <mergeCell ref="G16:H16"/>
    <mergeCell ref="G18:H18"/>
    <mergeCell ref="E42:F42"/>
    <mergeCell ref="G42:H42"/>
    <mergeCell ref="I42:J42"/>
    <mergeCell ref="K42:L42"/>
    <mergeCell ref="E39:F39"/>
    <mergeCell ref="I39:J39"/>
    <mergeCell ref="K39:L39"/>
    <mergeCell ref="E41:F41"/>
    <mergeCell ref="I41:J41"/>
    <mergeCell ref="K41:L41"/>
    <mergeCell ref="G39:H39"/>
    <mergeCell ref="G41:H41"/>
    <mergeCell ref="E40:F40"/>
    <mergeCell ref="G40:H40"/>
    <mergeCell ref="I40:J40"/>
    <mergeCell ref="K40:L40"/>
    <mergeCell ref="I29:J29"/>
    <mergeCell ref="E28:F28"/>
    <mergeCell ref="K28:L28"/>
    <mergeCell ref="K29:L29"/>
    <mergeCell ref="E29:F29"/>
    <mergeCell ref="E23:F23"/>
    <mergeCell ref="A33:D33"/>
    <mergeCell ref="E33:F34"/>
    <mergeCell ref="I33:J34"/>
    <mergeCell ref="K33:L34"/>
    <mergeCell ref="B34:D34"/>
    <mergeCell ref="E37:F37"/>
    <mergeCell ref="I37:J37"/>
    <mergeCell ref="K37:L37"/>
    <mergeCell ref="E38:F38"/>
    <mergeCell ref="I38:J38"/>
    <mergeCell ref="K38:L38"/>
    <mergeCell ref="G37:H37"/>
    <mergeCell ref="G38:H38"/>
    <mergeCell ref="A35:D35"/>
    <mergeCell ref="E35:F35"/>
    <mergeCell ref="I35:J35"/>
    <mergeCell ref="K35:L35"/>
    <mergeCell ref="E36:F36"/>
    <mergeCell ref="G36:H36"/>
    <mergeCell ref="I36:J36"/>
    <mergeCell ref="B36:D36"/>
    <mergeCell ref="B37:D37"/>
    <mergeCell ref="K46:L46"/>
    <mergeCell ref="E43:F43"/>
    <mergeCell ref="I43:J43"/>
    <mergeCell ref="K43:L43"/>
    <mergeCell ref="E44:F44"/>
    <mergeCell ref="I44:J44"/>
    <mergeCell ref="K44:L44"/>
    <mergeCell ref="G43:H43"/>
    <mergeCell ref="G44:H44"/>
    <mergeCell ref="A5:N5"/>
    <mergeCell ref="A6:N6"/>
    <mergeCell ref="G48:H48"/>
    <mergeCell ref="G53:H53"/>
    <mergeCell ref="G25:H25"/>
    <mergeCell ref="G27:H27"/>
    <mergeCell ref="G30:H30"/>
    <mergeCell ref="G33:H34"/>
    <mergeCell ref="G35:H35"/>
    <mergeCell ref="A53:D53"/>
    <mergeCell ref="E30:F30"/>
    <mergeCell ref="I30:J30"/>
    <mergeCell ref="K30:L30"/>
    <mergeCell ref="E53:F53"/>
    <mergeCell ref="I53:J53"/>
    <mergeCell ref="K53:L53"/>
    <mergeCell ref="I48:J48"/>
    <mergeCell ref="E48:F48"/>
    <mergeCell ref="K48:L48"/>
    <mergeCell ref="E45:F45"/>
    <mergeCell ref="I45:J45"/>
    <mergeCell ref="K45:L45"/>
    <mergeCell ref="E47:F47"/>
    <mergeCell ref="I47:J47"/>
    <mergeCell ref="B13:D13"/>
    <mergeCell ref="B14:D14"/>
    <mergeCell ref="B15:D15"/>
    <mergeCell ref="B16:D16"/>
    <mergeCell ref="B18:D18"/>
    <mergeCell ref="B24:D24"/>
    <mergeCell ref="B25:D25"/>
    <mergeCell ref="B27:D27"/>
    <mergeCell ref="B17:D17"/>
    <mergeCell ref="B23:D23"/>
    <mergeCell ref="B26:D26"/>
    <mergeCell ref="K23:L23"/>
    <mergeCell ref="K22:L22"/>
    <mergeCell ref="G28:H28"/>
    <mergeCell ref="B52:D52"/>
    <mergeCell ref="E52:F52"/>
    <mergeCell ref="G52:H52"/>
    <mergeCell ref="I52:J52"/>
    <mergeCell ref="K52:L52"/>
    <mergeCell ref="B50:D50"/>
    <mergeCell ref="B51:D51"/>
    <mergeCell ref="E51:F51"/>
    <mergeCell ref="G51:H51"/>
    <mergeCell ref="I51:J51"/>
    <mergeCell ref="K51:L51"/>
    <mergeCell ref="E50:F50"/>
    <mergeCell ref="G50:H50"/>
    <mergeCell ref="I50:J50"/>
    <mergeCell ref="K50:L50"/>
    <mergeCell ref="K47:L47"/>
    <mergeCell ref="G45:H45"/>
    <mergeCell ref="G47:H47"/>
    <mergeCell ref="E46:F46"/>
    <mergeCell ref="G46:H46"/>
    <mergeCell ref="I46:J46"/>
  </mergeCells>
  <pageMargins left="0.7" right="0.7" top="0.75" bottom="0.75" header="0.3" footer="0.3"/>
  <pageSetup paperSize="9" scale="65" orientation="portrait" r:id="rId2"/>
  <ignoredErrors>
    <ignoredError sqref="M27:N27 M15:N15 M16 N30 M18:N18 M20:N22 M24:N24 M38:N39 M41 M43:N45 M47:N47 M25:N25 M48:N48 N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zoomScaleNormal="100" workbookViewId="0">
      <selection activeCell="M15" sqref="M15"/>
    </sheetView>
  </sheetViews>
  <sheetFormatPr defaultRowHeight="15" x14ac:dyDescent="0.25"/>
  <cols>
    <col min="4" max="6" width="9.140625" customWidth="1"/>
  </cols>
  <sheetData>
    <row r="1" spans="1:16" x14ac:dyDescent="0.25">
      <c r="A1" s="75" t="s">
        <v>222</v>
      </c>
    </row>
    <row r="2" spans="1:16" x14ac:dyDescent="0.25">
      <c r="A2" s="74" t="s">
        <v>12</v>
      </c>
    </row>
    <row r="3" spans="1:16" x14ac:dyDescent="0.25">
      <c r="A3" s="74" t="s">
        <v>223</v>
      </c>
    </row>
    <row r="5" spans="1:16" x14ac:dyDescent="0.25">
      <c r="A5" s="207" t="s">
        <v>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</row>
    <row r="6" spans="1:16" x14ac:dyDescent="0.25">
      <c r="A6" s="207" t="s">
        <v>161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</row>
    <row r="7" spans="1:16" x14ac:dyDescent="0.25">
      <c r="A7" s="207" t="s">
        <v>164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</row>
    <row r="8" spans="1:16" ht="15.75" thickBot="1" x14ac:dyDescent="0.3"/>
    <row r="9" spans="1:16" ht="15" customHeight="1" x14ac:dyDescent="0.25">
      <c r="A9" s="428" t="s">
        <v>171</v>
      </c>
      <c r="B9" s="429"/>
      <c r="C9" s="429"/>
      <c r="D9" s="429"/>
      <c r="E9" s="429"/>
      <c r="F9" s="430"/>
      <c r="G9" s="170" t="s">
        <v>138</v>
      </c>
      <c r="H9" s="171"/>
      <c r="I9" s="170" t="s">
        <v>203</v>
      </c>
      <c r="J9" s="171"/>
      <c r="K9" s="170" t="s">
        <v>204</v>
      </c>
      <c r="L9" s="171"/>
      <c r="M9" s="170" t="s">
        <v>205</v>
      </c>
      <c r="N9" s="171"/>
      <c r="O9" s="17" t="s">
        <v>38</v>
      </c>
      <c r="P9" s="17" t="s">
        <v>38</v>
      </c>
    </row>
    <row r="10" spans="1:16" x14ac:dyDescent="0.25">
      <c r="A10" s="431"/>
      <c r="B10" s="432"/>
      <c r="C10" s="432"/>
      <c r="D10" s="432"/>
      <c r="E10" s="432"/>
      <c r="F10" s="433"/>
      <c r="G10" s="172"/>
      <c r="H10" s="173"/>
      <c r="I10" s="172"/>
      <c r="J10" s="173"/>
      <c r="K10" s="172"/>
      <c r="L10" s="173"/>
      <c r="M10" s="172"/>
      <c r="N10" s="173"/>
      <c r="O10" s="20" t="s">
        <v>134</v>
      </c>
      <c r="P10" s="18" t="s">
        <v>136</v>
      </c>
    </row>
    <row r="11" spans="1:16" ht="15.75" thickBot="1" x14ac:dyDescent="0.3">
      <c r="A11" s="305">
        <v>1</v>
      </c>
      <c r="B11" s="306"/>
      <c r="C11" s="306"/>
      <c r="D11" s="306"/>
      <c r="E11" s="306"/>
      <c r="F11" s="307"/>
      <c r="G11" s="305">
        <v>2</v>
      </c>
      <c r="H11" s="306"/>
      <c r="I11" s="305">
        <v>3</v>
      </c>
      <c r="J11" s="306"/>
      <c r="K11" s="305">
        <v>4</v>
      </c>
      <c r="L11" s="306"/>
      <c r="M11" s="305">
        <v>5</v>
      </c>
      <c r="N11" s="306"/>
      <c r="O11" s="19">
        <v>6</v>
      </c>
      <c r="P11" s="19">
        <v>7</v>
      </c>
    </row>
    <row r="12" spans="1:16" ht="15" customHeight="1" x14ac:dyDescent="0.25">
      <c r="A12" s="54" t="s">
        <v>151</v>
      </c>
      <c r="B12" s="55" t="s">
        <v>152</v>
      </c>
      <c r="C12" s="47"/>
      <c r="D12" s="47"/>
      <c r="E12" s="47"/>
      <c r="F12" s="48"/>
      <c r="G12" s="360">
        <f>G13</f>
        <v>1961252.94</v>
      </c>
      <c r="H12" s="361"/>
      <c r="I12" s="360">
        <f t="shared" ref="I12:I13" si="0">I13</f>
        <v>2250593.7599999998</v>
      </c>
      <c r="J12" s="361"/>
      <c r="K12" s="360">
        <f t="shared" ref="K12" si="1">K13</f>
        <v>2365349.2599999998</v>
      </c>
      <c r="L12" s="361"/>
      <c r="M12" s="360">
        <f t="shared" ref="M12:M13" si="2">M13</f>
        <v>2246993.2999999998</v>
      </c>
      <c r="N12" s="361"/>
      <c r="O12" s="38">
        <f>(M12/G12)*100</f>
        <v>114.56927631170306</v>
      </c>
      <c r="P12" s="38">
        <f>M12/K12*100</f>
        <v>94.996258607492067</v>
      </c>
    </row>
    <row r="13" spans="1:16" ht="15" customHeight="1" x14ac:dyDescent="0.25">
      <c r="A13" s="136" t="s">
        <v>154</v>
      </c>
      <c r="B13" s="5" t="s">
        <v>153</v>
      </c>
      <c r="C13" s="85"/>
      <c r="D13" s="85"/>
      <c r="E13" s="85"/>
      <c r="F13" s="86"/>
      <c r="G13" s="259">
        <f>G14</f>
        <v>1961252.94</v>
      </c>
      <c r="H13" s="260"/>
      <c r="I13" s="259">
        <f t="shared" si="0"/>
        <v>2250593.7599999998</v>
      </c>
      <c r="J13" s="260"/>
      <c r="K13" s="259">
        <f>K14</f>
        <v>2365349.2599999998</v>
      </c>
      <c r="L13" s="260"/>
      <c r="M13" s="259">
        <f t="shared" si="2"/>
        <v>2246993.2999999998</v>
      </c>
      <c r="N13" s="260"/>
      <c r="O13" s="87">
        <f>M13/G13*100</f>
        <v>114.56927631170306</v>
      </c>
      <c r="P13" s="87">
        <f>M13/K13*100</f>
        <v>94.996258607492067</v>
      </c>
    </row>
    <row r="14" spans="1:16" s="74" customFormat="1" ht="15" customHeight="1" x14ac:dyDescent="0.25">
      <c r="A14" s="133" t="s">
        <v>155</v>
      </c>
      <c r="B14" s="7" t="s">
        <v>156</v>
      </c>
      <c r="C14" s="134"/>
      <c r="D14" s="134"/>
      <c r="E14" s="134"/>
      <c r="F14" s="135"/>
      <c r="G14" s="276">
        <v>1961252.94</v>
      </c>
      <c r="H14" s="277"/>
      <c r="I14" s="276">
        <v>2250593.7599999998</v>
      </c>
      <c r="J14" s="277"/>
      <c r="K14" s="276">
        <v>2365349.2599999998</v>
      </c>
      <c r="L14" s="277"/>
      <c r="M14" s="276">
        <v>2246993.2999999998</v>
      </c>
      <c r="N14" s="277"/>
      <c r="O14" s="56">
        <f>M14/G14*100</f>
        <v>114.56927631170306</v>
      </c>
      <c r="P14" s="56">
        <f>M14/K14*100</f>
        <v>94.996258607492067</v>
      </c>
    </row>
  </sheetData>
  <mergeCells count="25">
    <mergeCell ref="G13:H13"/>
    <mergeCell ref="I13:J13"/>
    <mergeCell ref="K13:L13"/>
    <mergeCell ref="M13:N13"/>
    <mergeCell ref="G14:H14"/>
    <mergeCell ref="I14:J14"/>
    <mergeCell ref="K14:L14"/>
    <mergeCell ref="M14:N14"/>
    <mergeCell ref="G12:H12"/>
    <mergeCell ref="I12:J12"/>
    <mergeCell ref="K12:L12"/>
    <mergeCell ref="M12:N12"/>
    <mergeCell ref="A11:F11"/>
    <mergeCell ref="G11:H11"/>
    <mergeCell ref="I11:J11"/>
    <mergeCell ref="K11:L11"/>
    <mergeCell ref="M11:N11"/>
    <mergeCell ref="A5:P5"/>
    <mergeCell ref="A6:P6"/>
    <mergeCell ref="A7:P7"/>
    <mergeCell ref="A9:F10"/>
    <mergeCell ref="G9:H10"/>
    <mergeCell ref="I9:J10"/>
    <mergeCell ref="K9:L10"/>
    <mergeCell ref="M9:N10"/>
  </mergeCells>
  <pageMargins left="0.7" right="0.7" top="0.75" bottom="0.75" header="0.3" footer="0.3"/>
  <pageSetup paperSize="9" scale="61" orientation="landscape" horizontalDpi="300" verticalDpi="300" r:id="rId1"/>
  <ignoredErrors>
    <ignoredError sqref="O12:P13" evalError="1"/>
    <ignoredError sqref="A12:A14" numberStoredAsText="1"/>
    <ignoredError sqref="H14 J14 L14 N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2"/>
  <sheetViews>
    <sheetView topLeftCell="A91" zoomScale="110" zoomScaleNormal="110" workbookViewId="0">
      <selection activeCell="K20" sqref="K20:L20"/>
    </sheetView>
  </sheetViews>
  <sheetFormatPr defaultRowHeight="15" x14ac:dyDescent="0.25"/>
  <cols>
    <col min="1" max="6" width="9.7109375" customWidth="1"/>
    <col min="7" max="15" width="8.85546875" customWidth="1"/>
  </cols>
  <sheetData>
    <row r="1" spans="1:13" x14ac:dyDescent="0.25">
      <c r="A1" s="75" t="s">
        <v>222</v>
      </c>
    </row>
    <row r="2" spans="1:13" x14ac:dyDescent="0.25">
      <c r="A2" s="74" t="s">
        <v>12</v>
      </c>
    </row>
    <row r="3" spans="1:13" x14ac:dyDescent="0.25">
      <c r="A3" s="74" t="s">
        <v>223</v>
      </c>
    </row>
    <row r="5" spans="1:13" x14ac:dyDescent="0.25">
      <c r="A5" s="207" t="s">
        <v>165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7" spans="1:13" ht="15" customHeight="1" x14ac:dyDescent="0.25">
      <c r="A7" s="499" t="s">
        <v>166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</row>
    <row r="8" spans="1:13" ht="15.75" thickBot="1" x14ac:dyDescent="0.3"/>
    <row r="9" spans="1:13" ht="15" customHeight="1" x14ac:dyDescent="0.25">
      <c r="A9" s="428" t="s">
        <v>150</v>
      </c>
      <c r="B9" s="429"/>
      <c r="C9" s="429"/>
      <c r="D9" s="429"/>
      <c r="E9" s="429"/>
      <c r="F9" s="429"/>
      <c r="G9" s="428" t="s">
        <v>203</v>
      </c>
      <c r="H9" s="429"/>
      <c r="I9" s="428" t="s">
        <v>204</v>
      </c>
      <c r="J9" s="429"/>
      <c r="K9" s="205" t="s">
        <v>205</v>
      </c>
      <c r="L9" s="205"/>
      <c r="M9" s="17" t="s">
        <v>38</v>
      </c>
    </row>
    <row r="10" spans="1:13" x14ac:dyDescent="0.25">
      <c r="A10" s="431"/>
      <c r="B10" s="432"/>
      <c r="C10" s="432"/>
      <c r="D10" s="432"/>
      <c r="E10" s="432"/>
      <c r="F10" s="432"/>
      <c r="G10" s="431"/>
      <c r="H10" s="432"/>
      <c r="I10" s="431"/>
      <c r="J10" s="432"/>
      <c r="K10" s="206"/>
      <c r="L10" s="206"/>
      <c r="M10" s="18" t="s">
        <v>157</v>
      </c>
    </row>
    <row r="11" spans="1:13" ht="15.75" thickBot="1" x14ac:dyDescent="0.3">
      <c r="A11" s="305">
        <v>1</v>
      </c>
      <c r="B11" s="306"/>
      <c r="C11" s="306"/>
      <c r="D11" s="306"/>
      <c r="E11" s="306"/>
      <c r="F11" s="307"/>
      <c r="G11" s="305">
        <v>2</v>
      </c>
      <c r="H11" s="306"/>
      <c r="I11" s="305">
        <v>3</v>
      </c>
      <c r="J11" s="306"/>
      <c r="K11" s="305">
        <v>4</v>
      </c>
      <c r="L11" s="306"/>
      <c r="M11" s="19">
        <v>5</v>
      </c>
    </row>
    <row r="12" spans="1:13" ht="15.75" thickBot="1" x14ac:dyDescent="0.3">
      <c r="A12" s="67">
        <v>18848</v>
      </c>
      <c r="B12" s="63" t="s">
        <v>261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</row>
    <row r="13" spans="1:13" x14ac:dyDescent="0.25">
      <c r="A13" s="9"/>
      <c r="B13" s="460" t="s">
        <v>174</v>
      </c>
      <c r="C13" s="460"/>
      <c r="D13" s="460"/>
      <c r="E13" s="460"/>
      <c r="F13" s="461"/>
      <c r="G13" s="506">
        <f>SUM(G14:H19)</f>
        <v>2250593.7599999998</v>
      </c>
      <c r="H13" s="507"/>
      <c r="I13" s="506">
        <f>SUM(I14:J19)</f>
        <v>2365349.2599999998</v>
      </c>
      <c r="J13" s="507"/>
      <c r="K13" s="506">
        <f>SUM(K14:L19)</f>
        <v>2246993.2999999998</v>
      </c>
      <c r="L13" s="507"/>
      <c r="M13" s="146">
        <f>K13/I13*100</f>
        <v>94.996258607492067</v>
      </c>
    </row>
    <row r="14" spans="1:13" x14ac:dyDescent="0.25">
      <c r="A14" s="12">
        <v>1</v>
      </c>
      <c r="B14" s="7" t="s">
        <v>114</v>
      </c>
      <c r="C14" s="7"/>
      <c r="D14" s="7"/>
      <c r="E14" s="7"/>
      <c r="F14" s="13"/>
      <c r="G14" s="446">
        <v>0</v>
      </c>
      <c r="H14" s="447"/>
      <c r="I14" s="446">
        <v>41181.47</v>
      </c>
      <c r="J14" s="447"/>
      <c r="K14" s="446">
        <v>31775.26</v>
      </c>
      <c r="L14" s="447"/>
      <c r="M14" s="147">
        <f>K14/I14*100</f>
        <v>77.159120351944694</v>
      </c>
    </row>
    <row r="15" spans="1:13" x14ac:dyDescent="0.25">
      <c r="A15" s="12">
        <v>3</v>
      </c>
      <c r="B15" s="7" t="s">
        <v>175</v>
      </c>
      <c r="C15" s="7"/>
      <c r="D15" s="7"/>
      <c r="E15" s="7"/>
      <c r="F15" s="13"/>
      <c r="G15" s="444">
        <v>16600</v>
      </c>
      <c r="H15" s="445"/>
      <c r="I15" s="446">
        <v>18100</v>
      </c>
      <c r="J15" s="447"/>
      <c r="K15" s="446">
        <v>6259.89</v>
      </c>
      <c r="L15" s="447"/>
      <c r="M15" s="147">
        <f t="shared" ref="M15:M19" si="0">K15/I15*100</f>
        <v>34.585027624309397</v>
      </c>
    </row>
    <row r="16" spans="1:13" x14ac:dyDescent="0.25">
      <c r="A16" s="12">
        <v>4</v>
      </c>
      <c r="B16" s="7" t="s">
        <v>176</v>
      </c>
      <c r="C16" s="7"/>
      <c r="D16" s="7"/>
      <c r="E16" s="7"/>
      <c r="F16" s="13"/>
      <c r="G16" s="444">
        <v>150090.12</v>
      </c>
      <c r="H16" s="445"/>
      <c r="I16" s="446">
        <v>167276.14000000001</v>
      </c>
      <c r="J16" s="447"/>
      <c r="K16" s="446">
        <v>151638.72</v>
      </c>
      <c r="L16" s="447"/>
      <c r="M16" s="147">
        <f t="shared" si="0"/>
        <v>90.651733116271089</v>
      </c>
    </row>
    <row r="17" spans="1:15" x14ac:dyDescent="0.25">
      <c r="A17" s="12">
        <v>5</v>
      </c>
      <c r="B17" s="7" t="s">
        <v>169</v>
      </c>
      <c r="C17" s="7"/>
      <c r="D17" s="7"/>
      <c r="E17" s="7"/>
      <c r="F17" s="13"/>
      <c r="G17" s="444">
        <v>2074403.64</v>
      </c>
      <c r="H17" s="445"/>
      <c r="I17" s="446">
        <v>2129291.65</v>
      </c>
      <c r="J17" s="447"/>
      <c r="K17" s="448">
        <f>2036362.28+15117.15</f>
        <v>2051479.43</v>
      </c>
      <c r="L17" s="449"/>
      <c r="M17" s="147">
        <f t="shared" si="0"/>
        <v>96.345628838585824</v>
      </c>
    </row>
    <row r="18" spans="1:15" s="74" customFormat="1" x14ac:dyDescent="0.25">
      <c r="A18" s="12">
        <v>6</v>
      </c>
      <c r="B18" s="7" t="s">
        <v>26</v>
      </c>
      <c r="C18" s="7"/>
      <c r="D18" s="7"/>
      <c r="E18" s="7"/>
      <c r="F18" s="13"/>
      <c r="G18" s="444">
        <v>7000</v>
      </c>
      <c r="H18" s="445"/>
      <c r="I18" s="446">
        <v>7000</v>
      </c>
      <c r="J18" s="447"/>
      <c r="K18" s="448">
        <v>5840</v>
      </c>
      <c r="L18" s="449"/>
      <c r="M18" s="147">
        <f t="shared" si="0"/>
        <v>83.428571428571431</v>
      </c>
    </row>
    <row r="19" spans="1:15" s="74" customFormat="1" ht="15.75" thickBot="1" x14ac:dyDescent="0.3">
      <c r="A19" s="12">
        <v>7</v>
      </c>
      <c r="B19" s="7" t="s">
        <v>237</v>
      </c>
      <c r="C19" s="7"/>
      <c r="D19" s="7"/>
      <c r="E19" s="7"/>
      <c r="F19" s="13"/>
      <c r="G19" s="444">
        <v>2500</v>
      </c>
      <c r="H19" s="445"/>
      <c r="I19" s="446">
        <v>2500</v>
      </c>
      <c r="J19" s="447"/>
      <c r="K19" s="448">
        <v>0</v>
      </c>
      <c r="L19" s="449"/>
      <c r="M19" s="147">
        <f t="shared" si="0"/>
        <v>0</v>
      </c>
    </row>
    <row r="20" spans="1:15" x14ac:dyDescent="0.25">
      <c r="A20" s="503" t="s">
        <v>13</v>
      </c>
      <c r="B20" s="504"/>
      <c r="C20" s="504"/>
      <c r="D20" s="504"/>
      <c r="E20" s="504"/>
      <c r="F20" s="505"/>
      <c r="G20" s="472">
        <f>G21+G62+G169</f>
        <v>2250593.7599999998</v>
      </c>
      <c r="H20" s="472"/>
      <c r="I20" s="472">
        <f t="shared" ref="I20" si="1">I21+I62+I169</f>
        <v>2365349.2599999998</v>
      </c>
      <c r="J20" s="472"/>
      <c r="K20" s="472">
        <f t="shared" ref="K20" si="2">K21+K62+K169</f>
        <v>2246993.2999999998</v>
      </c>
      <c r="L20" s="472"/>
      <c r="M20" s="35">
        <f t="shared" ref="M20:M21" si="3">K20/I20*100</f>
        <v>94.996258607492067</v>
      </c>
    </row>
    <row r="21" spans="1:15" x14ac:dyDescent="0.25">
      <c r="A21" s="500" t="s">
        <v>96</v>
      </c>
      <c r="B21" s="501"/>
      <c r="C21" s="501"/>
      <c r="D21" s="501"/>
      <c r="E21" s="501"/>
      <c r="F21" s="502"/>
      <c r="G21" s="473">
        <f>G22+G54+G48+G169</f>
        <v>2163108.5299999998</v>
      </c>
      <c r="H21" s="474"/>
      <c r="I21" s="473">
        <f>I22+I54+I48</f>
        <v>2187576.5699999998</v>
      </c>
      <c r="J21" s="474"/>
      <c r="K21" s="473">
        <f>K22+K54+K48</f>
        <v>2153385.65</v>
      </c>
      <c r="L21" s="474"/>
      <c r="M21" s="36">
        <f t="shared" si="3"/>
        <v>98.437041223201632</v>
      </c>
    </row>
    <row r="22" spans="1:15" x14ac:dyDescent="0.25">
      <c r="A22" s="455" t="s">
        <v>14</v>
      </c>
      <c r="B22" s="456"/>
      <c r="C22" s="456"/>
      <c r="D22" s="456"/>
      <c r="E22" s="456"/>
      <c r="F22" s="457"/>
      <c r="G22" s="466">
        <f>G24</f>
        <v>119108.53</v>
      </c>
      <c r="H22" s="467"/>
      <c r="I22" s="466">
        <f>I24</f>
        <v>133544.55000000002</v>
      </c>
      <c r="J22" s="467"/>
      <c r="K22" s="466">
        <f>K24</f>
        <v>132349.08000000002</v>
      </c>
      <c r="L22" s="467"/>
      <c r="M22" s="443">
        <f>K22/I22*100</f>
        <v>99.104815584012968</v>
      </c>
    </row>
    <row r="23" spans="1:15" x14ac:dyDescent="0.25">
      <c r="A23" s="455" t="s">
        <v>15</v>
      </c>
      <c r="B23" s="456"/>
      <c r="C23" s="456"/>
      <c r="D23" s="456"/>
      <c r="E23" s="456"/>
      <c r="F23" s="457"/>
      <c r="G23" s="438"/>
      <c r="H23" s="439"/>
      <c r="I23" s="438"/>
      <c r="J23" s="439"/>
      <c r="K23" s="438"/>
      <c r="L23" s="439"/>
      <c r="M23" s="443"/>
    </row>
    <row r="24" spans="1:15" x14ac:dyDescent="0.25">
      <c r="A24" s="27">
        <v>32</v>
      </c>
      <c r="B24" s="28" t="s">
        <v>48</v>
      </c>
      <c r="C24" s="28"/>
      <c r="D24" s="28"/>
      <c r="E24" s="28"/>
      <c r="F24" s="29"/>
      <c r="G24" s="426">
        <f t="shared" ref="G24" si="4">SUM(G25:H47)</f>
        <v>119108.53</v>
      </c>
      <c r="H24" s="427"/>
      <c r="I24" s="426">
        <f>SUM(I25:J47)</f>
        <v>133544.55000000002</v>
      </c>
      <c r="J24" s="427"/>
      <c r="K24" s="426">
        <f>SUM(K25:L47)</f>
        <v>132349.08000000002</v>
      </c>
      <c r="L24" s="427"/>
      <c r="M24" s="57">
        <f>K24/I24*100</f>
        <v>99.104815584012968</v>
      </c>
    </row>
    <row r="25" spans="1:15" x14ac:dyDescent="0.25">
      <c r="A25" s="10">
        <v>3211</v>
      </c>
      <c r="B25" s="4" t="s">
        <v>50</v>
      </c>
      <c r="C25" s="4"/>
      <c r="D25" s="4"/>
      <c r="E25" s="4"/>
      <c r="F25" s="11"/>
      <c r="G25" s="177">
        <v>8000</v>
      </c>
      <c r="H25" s="178"/>
      <c r="I25" s="177">
        <v>10542.33</v>
      </c>
      <c r="J25" s="178"/>
      <c r="K25" s="177">
        <v>10540.46</v>
      </c>
      <c r="L25" s="178"/>
      <c r="M25" s="84">
        <f t="shared" ref="M25:M53" si="5">K25/I25*100</f>
        <v>99.982261985728002</v>
      </c>
      <c r="O25" s="25"/>
    </row>
    <row r="26" spans="1:15" x14ac:dyDescent="0.25">
      <c r="A26" s="10">
        <v>3212</v>
      </c>
      <c r="B26" s="4" t="s">
        <v>89</v>
      </c>
      <c r="C26" s="4"/>
      <c r="D26" s="4"/>
      <c r="E26" s="4"/>
      <c r="F26" s="11"/>
      <c r="G26" s="177">
        <v>33000</v>
      </c>
      <c r="H26" s="178"/>
      <c r="I26" s="177">
        <v>32169.62</v>
      </c>
      <c r="J26" s="178"/>
      <c r="K26" s="177">
        <v>32169.62</v>
      </c>
      <c r="L26" s="178"/>
      <c r="M26" s="84">
        <f t="shared" si="5"/>
        <v>100</v>
      </c>
    </row>
    <row r="27" spans="1:15" x14ac:dyDescent="0.25">
      <c r="A27" s="10">
        <v>3213</v>
      </c>
      <c r="B27" s="4" t="s">
        <v>52</v>
      </c>
      <c r="C27" s="4"/>
      <c r="D27" s="4"/>
      <c r="E27" s="4"/>
      <c r="F27" s="11"/>
      <c r="G27" s="177">
        <v>1000</v>
      </c>
      <c r="H27" s="178"/>
      <c r="I27" s="177">
        <v>150</v>
      </c>
      <c r="J27" s="178"/>
      <c r="K27" s="177">
        <v>150</v>
      </c>
      <c r="L27" s="178"/>
      <c r="M27" s="84">
        <f t="shared" si="5"/>
        <v>100</v>
      </c>
    </row>
    <row r="28" spans="1:15" x14ac:dyDescent="0.25">
      <c r="A28" s="10">
        <v>3214</v>
      </c>
      <c r="B28" s="4" t="s">
        <v>82</v>
      </c>
      <c r="C28" s="4"/>
      <c r="D28" s="4"/>
      <c r="E28" s="4"/>
      <c r="F28" s="11"/>
      <c r="G28" s="177">
        <v>800</v>
      </c>
      <c r="H28" s="178"/>
      <c r="I28" s="177">
        <v>1281.4000000000001</v>
      </c>
      <c r="J28" s="178"/>
      <c r="K28" s="177">
        <v>1218.4000000000001</v>
      </c>
      <c r="L28" s="178"/>
      <c r="M28" s="84">
        <f t="shared" si="5"/>
        <v>95.083502419228978</v>
      </c>
    </row>
    <row r="29" spans="1:15" x14ac:dyDescent="0.25">
      <c r="A29" s="10">
        <v>3221</v>
      </c>
      <c r="B29" s="4" t="s">
        <v>54</v>
      </c>
      <c r="C29" s="4"/>
      <c r="D29" s="4"/>
      <c r="E29" s="4"/>
      <c r="F29" s="11"/>
      <c r="G29" s="177">
        <v>13080.65</v>
      </c>
      <c r="H29" s="178"/>
      <c r="I29" s="177">
        <v>16572.169999999998</v>
      </c>
      <c r="J29" s="178"/>
      <c r="K29" s="177">
        <v>16570.5</v>
      </c>
      <c r="L29" s="178"/>
      <c r="M29" s="84">
        <f t="shared" si="5"/>
        <v>99.989922864658055</v>
      </c>
    </row>
    <row r="30" spans="1:15" x14ac:dyDescent="0.25">
      <c r="A30" s="10">
        <v>3222</v>
      </c>
      <c r="B30" s="4" t="s">
        <v>90</v>
      </c>
      <c r="C30" s="4"/>
      <c r="D30" s="4"/>
      <c r="E30" s="4"/>
      <c r="F30" s="11"/>
      <c r="G30" s="177">
        <v>3500</v>
      </c>
      <c r="H30" s="178"/>
      <c r="I30" s="177">
        <v>2216.0100000000002</v>
      </c>
      <c r="J30" s="178"/>
      <c r="K30" s="177">
        <v>2215.11</v>
      </c>
      <c r="L30" s="178"/>
      <c r="M30" s="84">
        <f t="shared" si="5"/>
        <v>99.959386464862519</v>
      </c>
    </row>
    <row r="31" spans="1:15" x14ac:dyDescent="0.25">
      <c r="A31" s="10">
        <v>3223</v>
      </c>
      <c r="B31" s="4" t="s">
        <v>55</v>
      </c>
      <c r="C31" s="4"/>
      <c r="D31" s="4"/>
      <c r="E31" s="4"/>
      <c r="F31" s="11"/>
      <c r="G31" s="177">
        <v>23420</v>
      </c>
      <c r="H31" s="178"/>
      <c r="I31" s="177">
        <v>25042.81</v>
      </c>
      <c r="J31" s="178"/>
      <c r="K31" s="177">
        <v>25041.98</v>
      </c>
      <c r="L31" s="178"/>
      <c r="M31" s="84">
        <f t="shared" si="5"/>
        <v>99.996685675449342</v>
      </c>
    </row>
    <row r="32" spans="1:15" x14ac:dyDescent="0.25">
      <c r="A32" s="10">
        <v>3224</v>
      </c>
      <c r="B32" s="4" t="s">
        <v>91</v>
      </c>
      <c r="C32" s="4"/>
      <c r="D32" s="4"/>
      <c r="E32" s="4"/>
      <c r="F32" s="11"/>
      <c r="G32" s="177">
        <v>2000</v>
      </c>
      <c r="H32" s="178"/>
      <c r="I32" s="177">
        <v>1453.34</v>
      </c>
      <c r="J32" s="178"/>
      <c r="K32" s="177">
        <v>1509.59</v>
      </c>
      <c r="L32" s="178"/>
      <c r="M32" s="84">
        <f t="shared" si="5"/>
        <v>103.8703950899308</v>
      </c>
    </row>
    <row r="33" spans="1:13" x14ac:dyDescent="0.25">
      <c r="A33" s="10">
        <v>3225</v>
      </c>
      <c r="B33" s="4" t="s">
        <v>57</v>
      </c>
      <c r="C33" s="4"/>
      <c r="D33" s="4"/>
      <c r="E33" s="4"/>
      <c r="F33" s="11"/>
      <c r="G33" s="177">
        <v>1000</v>
      </c>
      <c r="H33" s="178"/>
      <c r="I33" s="177">
        <v>868.11</v>
      </c>
      <c r="J33" s="178"/>
      <c r="K33" s="177">
        <v>868.11</v>
      </c>
      <c r="L33" s="178"/>
      <c r="M33" s="84">
        <f t="shared" si="5"/>
        <v>100</v>
      </c>
    </row>
    <row r="34" spans="1:13" x14ac:dyDescent="0.25">
      <c r="A34" s="10">
        <v>3227</v>
      </c>
      <c r="B34" s="4" t="s">
        <v>58</v>
      </c>
      <c r="C34" s="4"/>
      <c r="D34" s="4"/>
      <c r="E34" s="4"/>
      <c r="F34" s="11"/>
      <c r="G34" s="177">
        <v>800</v>
      </c>
      <c r="H34" s="178"/>
      <c r="I34" s="177">
        <v>800.06</v>
      </c>
      <c r="J34" s="178"/>
      <c r="K34" s="177">
        <v>800.06</v>
      </c>
      <c r="L34" s="178"/>
      <c r="M34" s="84">
        <f t="shared" si="5"/>
        <v>100</v>
      </c>
    </row>
    <row r="35" spans="1:13" x14ac:dyDescent="0.25">
      <c r="A35" s="10">
        <v>3231</v>
      </c>
      <c r="B35" s="4" t="s">
        <v>60</v>
      </c>
      <c r="C35" s="4"/>
      <c r="D35" s="4"/>
      <c r="E35" s="4"/>
      <c r="F35" s="11"/>
      <c r="G35" s="177">
        <v>4500</v>
      </c>
      <c r="H35" s="178"/>
      <c r="I35" s="177">
        <v>7314.78</v>
      </c>
      <c r="J35" s="178"/>
      <c r="K35" s="177">
        <v>7314.7</v>
      </c>
      <c r="L35" s="178"/>
      <c r="M35" s="84">
        <f t="shared" si="5"/>
        <v>99.998906323908571</v>
      </c>
    </row>
    <row r="36" spans="1:13" x14ac:dyDescent="0.25">
      <c r="A36" s="10">
        <v>3232</v>
      </c>
      <c r="B36" s="4" t="s">
        <v>61</v>
      </c>
      <c r="C36" s="4"/>
      <c r="D36" s="4"/>
      <c r="E36" s="4"/>
      <c r="F36" s="11"/>
      <c r="G36" s="177">
        <v>2000</v>
      </c>
      <c r="H36" s="178"/>
      <c r="I36" s="177">
        <v>2680.46</v>
      </c>
      <c r="J36" s="178"/>
      <c r="K36" s="177">
        <v>2680.36</v>
      </c>
      <c r="L36" s="178"/>
      <c r="M36" s="84">
        <f t="shared" si="5"/>
        <v>99.996269297060962</v>
      </c>
    </row>
    <row r="37" spans="1:13" x14ac:dyDescent="0.25">
      <c r="A37" s="10">
        <v>3233</v>
      </c>
      <c r="B37" s="4" t="s">
        <v>85</v>
      </c>
      <c r="C37" s="4"/>
      <c r="D37" s="4"/>
      <c r="E37" s="4"/>
      <c r="F37" s="11"/>
      <c r="G37" s="177">
        <v>400</v>
      </c>
      <c r="H37" s="178"/>
      <c r="I37" s="177">
        <v>254.88</v>
      </c>
      <c r="J37" s="178"/>
      <c r="K37" s="177">
        <v>254.88</v>
      </c>
      <c r="L37" s="178"/>
      <c r="M37" s="84">
        <f t="shared" si="5"/>
        <v>100</v>
      </c>
    </row>
    <row r="38" spans="1:13" x14ac:dyDescent="0.25">
      <c r="A38" s="10">
        <v>3234</v>
      </c>
      <c r="B38" s="4" t="s">
        <v>84</v>
      </c>
      <c r="C38" s="4"/>
      <c r="D38" s="4"/>
      <c r="E38" s="4"/>
      <c r="F38" s="11"/>
      <c r="G38" s="177">
        <v>6500</v>
      </c>
      <c r="H38" s="178"/>
      <c r="I38" s="177">
        <v>7223.46</v>
      </c>
      <c r="J38" s="178"/>
      <c r="K38" s="177">
        <v>7166.44</v>
      </c>
      <c r="L38" s="178"/>
      <c r="M38" s="84">
        <f t="shared" si="5"/>
        <v>99.210627593978501</v>
      </c>
    </row>
    <row r="39" spans="1:13" x14ac:dyDescent="0.25">
      <c r="A39" s="10">
        <v>3235</v>
      </c>
      <c r="B39" s="4" t="s">
        <v>62</v>
      </c>
      <c r="C39" s="4"/>
      <c r="D39" s="4"/>
      <c r="E39" s="4"/>
      <c r="F39" s="11"/>
      <c r="G39" s="177">
        <v>3300</v>
      </c>
      <c r="H39" s="178"/>
      <c r="I39" s="177">
        <v>3054.49</v>
      </c>
      <c r="J39" s="178"/>
      <c r="K39" s="177">
        <v>3053.95</v>
      </c>
      <c r="L39" s="178"/>
      <c r="M39" s="84">
        <f t="shared" si="5"/>
        <v>99.982321107615348</v>
      </c>
    </row>
    <row r="40" spans="1:13" x14ac:dyDescent="0.25">
      <c r="A40" s="10">
        <v>3236</v>
      </c>
      <c r="B40" s="4" t="s">
        <v>63</v>
      </c>
      <c r="C40" s="4"/>
      <c r="D40" s="4"/>
      <c r="E40" s="4"/>
      <c r="F40" s="11"/>
      <c r="G40" s="177">
        <v>7007.88</v>
      </c>
      <c r="H40" s="178"/>
      <c r="I40" s="177">
        <v>6290</v>
      </c>
      <c r="J40" s="178"/>
      <c r="K40" s="177">
        <v>6290</v>
      </c>
      <c r="L40" s="178"/>
      <c r="M40" s="84">
        <f t="shared" si="5"/>
        <v>100</v>
      </c>
    </row>
    <row r="41" spans="1:13" x14ac:dyDescent="0.25">
      <c r="A41" s="10">
        <v>3237</v>
      </c>
      <c r="B41" s="4" t="s">
        <v>64</v>
      </c>
      <c r="C41" s="4"/>
      <c r="D41" s="4"/>
      <c r="E41" s="4"/>
      <c r="F41" s="11"/>
      <c r="G41" s="177">
        <v>1500</v>
      </c>
      <c r="H41" s="178"/>
      <c r="I41" s="177">
        <v>4332.45</v>
      </c>
      <c r="J41" s="178"/>
      <c r="K41" s="177">
        <v>3211.31</v>
      </c>
      <c r="L41" s="178"/>
      <c r="M41" s="84">
        <f t="shared" si="5"/>
        <v>74.122263384459146</v>
      </c>
    </row>
    <row r="42" spans="1:13" x14ac:dyDescent="0.25">
      <c r="A42" s="10">
        <v>3238</v>
      </c>
      <c r="B42" s="4" t="s">
        <v>65</v>
      </c>
      <c r="C42" s="4"/>
      <c r="D42" s="4"/>
      <c r="E42" s="4"/>
      <c r="F42" s="11"/>
      <c r="G42" s="177">
        <v>2500</v>
      </c>
      <c r="H42" s="178"/>
      <c r="I42" s="177">
        <v>4299.47</v>
      </c>
      <c r="J42" s="178"/>
      <c r="K42" s="177">
        <v>4296.91</v>
      </c>
      <c r="L42" s="178"/>
      <c r="M42" s="84">
        <f t="shared" si="5"/>
        <v>99.940457777353942</v>
      </c>
    </row>
    <row r="43" spans="1:13" x14ac:dyDescent="0.25">
      <c r="A43" s="10">
        <v>3239</v>
      </c>
      <c r="B43" s="4" t="s">
        <v>66</v>
      </c>
      <c r="C43" s="4"/>
      <c r="D43" s="4"/>
      <c r="E43" s="4"/>
      <c r="F43" s="11"/>
      <c r="G43" s="177">
        <v>300</v>
      </c>
      <c r="H43" s="178"/>
      <c r="I43" s="177">
        <v>263.24</v>
      </c>
      <c r="J43" s="178"/>
      <c r="K43" s="177">
        <v>263.24</v>
      </c>
      <c r="L43" s="178"/>
      <c r="M43" s="84">
        <f t="shared" si="5"/>
        <v>100</v>
      </c>
    </row>
    <row r="44" spans="1:13" x14ac:dyDescent="0.25">
      <c r="A44" s="10">
        <v>3292</v>
      </c>
      <c r="B44" s="4" t="s">
        <v>69</v>
      </c>
      <c r="C44" s="4"/>
      <c r="D44" s="4"/>
      <c r="E44" s="4"/>
      <c r="F44" s="11"/>
      <c r="G44" s="177">
        <v>500</v>
      </c>
      <c r="H44" s="178"/>
      <c r="I44" s="177">
        <v>186.91</v>
      </c>
      <c r="J44" s="178"/>
      <c r="K44" s="177">
        <v>186.91</v>
      </c>
      <c r="L44" s="178"/>
      <c r="M44" s="84">
        <f t="shared" si="5"/>
        <v>100</v>
      </c>
    </row>
    <row r="45" spans="1:13" x14ac:dyDescent="0.25">
      <c r="A45" s="10">
        <v>3293</v>
      </c>
      <c r="B45" s="4" t="s">
        <v>70</v>
      </c>
      <c r="C45" s="4"/>
      <c r="D45" s="4"/>
      <c r="E45" s="4"/>
      <c r="F45" s="11"/>
      <c r="G45" s="177">
        <v>2000</v>
      </c>
      <c r="H45" s="178"/>
      <c r="I45" s="177">
        <v>1549.48</v>
      </c>
      <c r="J45" s="178"/>
      <c r="K45" s="177">
        <v>1549.48</v>
      </c>
      <c r="L45" s="178"/>
      <c r="M45" s="84">
        <f t="shared" si="5"/>
        <v>100</v>
      </c>
    </row>
    <row r="46" spans="1:13" x14ac:dyDescent="0.25">
      <c r="A46" s="10">
        <v>3294</v>
      </c>
      <c r="B46" s="4" t="s">
        <v>71</v>
      </c>
      <c r="C46" s="4"/>
      <c r="D46" s="4"/>
      <c r="E46" s="4"/>
      <c r="F46" s="11"/>
      <c r="G46" s="177">
        <v>0</v>
      </c>
      <c r="H46" s="178"/>
      <c r="I46" s="177">
        <v>0</v>
      </c>
      <c r="J46" s="178"/>
      <c r="K46" s="177">
        <v>0</v>
      </c>
      <c r="L46" s="178"/>
      <c r="M46" s="84" t="e">
        <f t="shared" si="5"/>
        <v>#DIV/0!</v>
      </c>
    </row>
    <row r="47" spans="1:13" x14ac:dyDescent="0.25">
      <c r="A47" s="10">
        <v>3299</v>
      </c>
      <c r="B47" s="4" t="s">
        <v>67</v>
      </c>
      <c r="C47" s="4"/>
      <c r="D47" s="4"/>
      <c r="E47" s="4"/>
      <c r="F47" s="11"/>
      <c r="G47" s="177">
        <v>2000</v>
      </c>
      <c r="H47" s="178"/>
      <c r="I47" s="177">
        <v>4999.08</v>
      </c>
      <c r="J47" s="178"/>
      <c r="K47" s="177">
        <v>4997.07</v>
      </c>
      <c r="L47" s="178"/>
      <c r="M47" s="84">
        <f t="shared" si="5"/>
        <v>99.959792601838743</v>
      </c>
    </row>
    <row r="48" spans="1:13" s="74" customFormat="1" x14ac:dyDescent="0.25">
      <c r="A48" s="452" t="s">
        <v>268</v>
      </c>
      <c r="B48" s="453"/>
      <c r="C48" s="453"/>
      <c r="D48" s="453"/>
      <c r="E48" s="453"/>
      <c r="F48" s="454"/>
      <c r="G48" s="438">
        <f>G50+G53</f>
        <v>0</v>
      </c>
      <c r="H48" s="439"/>
      <c r="I48" s="438">
        <f t="shared" ref="I48" si="6">I50+I53</f>
        <v>10032.02</v>
      </c>
      <c r="J48" s="439"/>
      <c r="K48" s="438">
        <f t="shared" ref="K48" si="7">K50+K53</f>
        <v>9970</v>
      </c>
      <c r="L48" s="439"/>
      <c r="M48" s="442">
        <f t="shared" si="5"/>
        <v>99.381779541906809</v>
      </c>
    </row>
    <row r="49" spans="1:15" s="74" customFormat="1" x14ac:dyDescent="0.25">
      <c r="A49" s="455" t="s">
        <v>271</v>
      </c>
      <c r="B49" s="456"/>
      <c r="C49" s="456"/>
      <c r="D49" s="456"/>
      <c r="E49" s="456"/>
      <c r="F49" s="457"/>
      <c r="G49" s="440"/>
      <c r="H49" s="441"/>
      <c r="I49" s="440"/>
      <c r="J49" s="441"/>
      <c r="K49" s="440"/>
      <c r="L49" s="441"/>
      <c r="M49" s="443"/>
    </row>
    <row r="50" spans="1:15" s="74" customFormat="1" x14ac:dyDescent="0.25">
      <c r="A50" s="27">
        <v>32</v>
      </c>
      <c r="B50" s="28" t="s">
        <v>48</v>
      </c>
      <c r="C50" s="28"/>
      <c r="D50" s="28"/>
      <c r="E50" s="28"/>
      <c r="F50" s="31"/>
      <c r="G50" s="398">
        <f t="shared" ref="G50" si="8">G51</f>
        <v>0</v>
      </c>
      <c r="H50" s="395"/>
      <c r="I50" s="398">
        <f>SUM(I51:J52)</f>
        <v>6595</v>
      </c>
      <c r="J50" s="395"/>
      <c r="K50" s="398">
        <f>SUM(K51:L52)</f>
        <v>6595</v>
      </c>
      <c r="L50" s="395"/>
      <c r="M50" s="61">
        <f t="shared" si="5"/>
        <v>100</v>
      </c>
    </row>
    <row r="51" spans="1:15" s="74" customFormat="1" x14ac:dyDescent="0.25">
      <c r="A51" s="10">
        <v>3232</v>
      </c>
      <c r="B51" s="4" t="s">
        <v>61</v>
      </c>
      <c r="C51" s="4"/>
      <c r="D51" s="4"/>
      <c r="E51" s="4"/>
      <c r="F51" s="11" t="s">
        <v>270</v>
      </c>
      <c r="G51" s="177">
        <v>0</v>
      </c>
      <c r="H51" s="178"/>
      <c r="I51" s="177">
        <v>3845</v>
      </c>
      <c r="J51" s="178"/>
      <c r="K51" s="177">
        <v>3845</v>
      </c>
      <c r="L51" s="178"/>
      <c r="M51" s="61">
        <f t="shared" si="5"/>
        <v>100</v>
      </c>
    </row>
    <row r="52" spans="1:15" s="74" customFormat="1" x14ac:dyDescent="0.25">
      <c r="A52" s="10">
        <v>3237</v>
      </c>
      <c r="B52" s="4" t="s">
        <v>64</v>
      </c>
      <c r="C52" s="4"/>
      <c r="D52" s="4"/>
      <c r="E52" s="4"/>
      <c r="F52" s="11" t="s">
        <v>269</v>
      </c>
      <c r="G52" s="177">
        <v>0</v>
      </c>
      <c r="H52" s="178"/>
      <c r="I52" s="177">
        <v>2750</v>
      </c>
      <c r="J52" s="178"/>
      <c r="K52" s="177">
        <v>2750</v>
      </c>
      <c r="L52" s="178"/>
      <c r="M52" s="61">
        <f t="shared" si="5"/>
        <v>100</v>
      </c>
    </row>
    <row r="53" spans="1:15" s="74" customFormat="1" x14ac:dyDescent="0.25">
      <c r="A53" s="10">
        <v>4221</v>
      </c>
      <c r="B53" s="4" t="s">
        <v>88</v>
      </c>
      <c r="C53" s="4"/>
      <c r="D53" s="4"/>
      <c r="E53" s="4"/>
      <c r="F53" s="11" t="s">
        <v>270</v>
      </c>
      <c r="G53" s="177"/>
      <c r="H53" s="178"/>
      <c r="I53" s="177">
        <v>3437.02</v>
      </c>
      <c r="J53" s="178"/>
      <c r="K53" s="177">
        <v>3375</v>
      </c>
      <c r="L53" s="178"/>
      <c r="M53" s="61">
        <f t="shared" si="5"/>
        <v>98.195529848531578</v>
      </c>
    </row>
    <row r="54" spans="1:15" s="74" customFormat="1" x14ac:dyDescent="0.25">
      <c r="A54" s="452" t="s">
        <v>93</v>
      </c>
      <c r="B54" s="453"/>
      <c r="C54" s="453"/>
      <c r="D54" s="453"/>
      <c r="E54" s="453"/>
      <c r="F54" s="454"/>
      <c r="G54" s="438">
        <f t="shared" ref="G54:K54" si="9">G56+G60</f>
        <v>2044000</v>
      </c>
      <c r="H54" s="439"/>
      <c r="I54" s="438">
        <f t="shared" si="9"/>
        <v>2044000</v>
      </c>
      <c r="J54" s="439"/>
      <c r="K54" s="438">
        <f t="shared" si="9"/>
        <v>2011066.5699999998</v>
      </c>
      <c r="L54" s="439"/>
      <c r="M54" s="442">
        <f t="shared" ref="M54" si="10">K54/I54*100</f>
        <v>98.388775440313097</v>
      </c>
      <c r="N54"/>
      <c r="O54"/>
    </row>
    <row r="55" spans="1:15" s="74" customFormat="1" x14ac:dyDescent="0.25">
      <c r="A55" s="455" t="s">
        <v>94</v>
      </c>
      <c r="B55" s="456"/>
      <c r="C55" s="456"/>
      <c r="D55" s="456"/>
      <c r="E55" s="456"/>
      <c r="F55" s="457"/>
      <c r="G55" s="440"/>
      <c r="H55" s="441"/>
      <c r="I55" s="440"/>
      <c r="J55" s="441"/>
      <c r="K55" s="440"/>
      <c r="L55" s="441"/>
      <c r="M55" s="443"/>
      <c r="N55"/>
      <c r="O55"/>
    </row>
    <row r="56" spans="1:15" s="74" customFormat="1" x14ac:dyDescent="0.25">
      <c r="A56" s="27">
        <v>31</v>
      </c>
      <c r="B56" s="28" t="s">
        <v>42</v>
      </c>
      <c r="C56" s="28"/>
      <c r="D56" s="28"/>
      <c r="E56" s="28"/>
      <c r="F56" s="31"/>
      <c r="G56" s="426">
        <f t="shared" ref="G56" si="11">G57+G59+G58</f>
        <v>2040000</v>
      </c>
      <c r="H56" s="427"/>
      <c r="I56" s="426">
        <f t="shared" ref="I56" si="12">I57+I59+I58</f>
        <v>2040000</v>
      </c>
      <c r="J56" s="427"/>
      <c r="K56" s="426">
        <f t="shared" ref="K56" si="13">K57+K59+K58</f>
        <v>2007090.5699999998</v>
      </c>
      <c r="L56" s="427"/>
      <c r="M56" s="61">
        <f>K56/I56*100</f>
        <v>98.386792647058812</v>
      </c>
      <c r="N56"/>
      <c r="O56"/>
    </row>
    <row r="57" spans="1:15" s="74" customFormat="1" x14ac:dyDescent="0.25">
      <c r="A57" s="9">
        <v>3111</v>
      </c>
      <c r="B57" s="30" t="s">
        <v>44</v>
      </c>
      <c r="C57" s="30"/>
      <c r="D57" s="30"/>
      <c r="E57" s="30"/>
      <c r="F57" s="31"/>
      <c r="G57" s="177">
        <v>1700000</v>
      </c>
      <c r="H57" s="178"/>
      <c r="I57" s="177">
        <v>1700000</v>
      </c>
      <c r="J57" s="178"/>
      <c r="K57" s="177">
        <v>1661105.7</v>
      </c>
      <c r="L57" s="178"/>
      <c r="M57" s="61">
        <f t="shared" ref="M57:M61" si="14">K57/I57*100</f>
        <v>97.712100000000007</v>
      </c>
      <c r="N57"/>
      <c r="O57"/>
    </row>
    <row r="58" spans="1:15" s="74" customFormat="1" x14ac:dyDescent="0.25">
      <c r="A58" s="10">
        <v>3121</v>
      </c>
      <c r="B58" s="4" t="s">
        <v>45</v>
      </c>
      <c r="C58" s="4"/>
      <c r="D58" s="4"/>
      <c r="E58" s="4"/>
      <c r="F58" s="16"/>
      <c r="G58" s="177">
        <v>60000</v>
      </c>
      <c r="H58" s="178"/>
      <c r="I58" s="177">
        <v>60000</v>
      </c>
      <c r="J58" s="178"/>
      <c r="K58" s="177">
        <v>71902.37</v>
      </c>
      <c r="L58" s="178"/>
      <c r="M58" s="61">
        <f t="shared" si="14"/>
        <v>119.83728333333332</v>
      </c>
      <c r="N58"/>
      <c r="O58"/>
    </row>
    <row r="59" spans="1:15" s="74" customFormat="1" x14ac:dyDescent="0.25">
      <c r="A59" s="10">
        <v>3132</v>
      </c>
      <c r="B59" s="4" t="s">
        <v>92</v>
      </c>
      <c r="C59" s="4"/>
      <c r="D59" s="4"/>
      <c r="E59" s="4"/>
      <c r="F59" s="16"/>
      <c r="G59" s="177">
        <v>280000</v>
      </c>
      <c r="H59" s="178"/>
      <c r="I59" s="177">
        <v>280000</v>
      </c>
      <c r="J59" s="178"/>
      <c r="K59" s="177">
        <v>274082.5</v>
      </c>
      <c r="L59" s="178"/>
      <c r="M59" s="61">
        <f t="shared" si="14"/>
        <v>97.886607142857144</v>
      </c>
      <c r="N59"/>
      <c r="O59"/>
    </row>
    <row r="60" spans="1:15" s="74" customFormat="1" x14ac:dyDescent="0.25">
      <c r="A60" s="27">
        <v>32</v>
      </c>
      <c r="B60" s="28" t="s">
        <v>48</v>
      </c>
      <c r="C60" s="28"/>
      <c r="D60" s="28"/>
      <c r="E60" s="28"/>
      <c r="F60" s="31"/>
      <c r="G60" s="398">
        <f t="shared" ref="G60" si="15">G61</f>
        <v>4000</v>
      </c>
      <c r="H60" s="395"/>
      <c r="I60" s="398">
        <f t="shared" ref="I60" si="16">I61</f>
        <v>4000</v>
      </c>
      <c r="J60" s="395"/>
      <c r="K60" s="398">
        <f t="shared" ref="K60" si="17">K61</f>
        <v>3976</v>
      </c>
      <c r="L60" s="395"/>
      <c r="M60" s="61">
        <f t="shared" si="14"/>
        <v>99.4</v>
      </c>
      <c r="N60"/>
      <c r="O60"/>
    </row>
    <row r="61" spans="1:15" s="74" customFormat="1" x14ac:dyDescent="0.25">
      <c r="A61" s="10">
        <v>3295</v>
      </c>
      <c r="B61" s="4" t="s">
        <v>95</v>
      </c>
      <c r="C61" s="4"/>
      <c r="D61" s="4"/>
      <c r="E61" s="4"/>
      <c r="F61" s="16"/>
      <c r="G61" s="177">
        <v>4000</v>
      </c>
      <c r="H61" s="178"/>
      <c r="I61" s="177">
        <v>4000</v>
      </c>
      <c r="J61" s="178"/>
      <c r="K61" s="177">
        <v>3976</v>
      </c>
      <c r="L61" s="178"/>
      <c r="M61" s="61">
        <f t="shared" si="14"/>
        <v>99.4</v>
      </c>
      <c r="N61"/>
      <c r="O61"/>
    </row>
    <row r="62" spans="1:15" x14ac:dyDescent="0.25">
      <c r="A62" s="475" t="s">
        <v>97</v>
      </c>
      <c r="B62" s="476"/>
      <c r="C62" s="476"/>
      <c r="D62" s="476"/>
      <c r="E62" s="476"/>
      <c r="F62" s="477"/>
      <c r="G62" s="464">
        <f>G63+G69+G98+G153+G161+G165</f>
        <v>87485.23</v>
      </c>
      <c r="H62" s="465"/>
      <c r="I62" s="464">
        <f t="shared" ref="I62" si="18">I63+I69+I98+I153+I161+I165</f>
        <v>97928.37</v>
      </c>
      <c r="J62" s="465"/>
      <c r="K62" s="464">
        <f t="shared" ref="K62" si="19">K63+K69+K98+K153+K161+K165</f>
        <v>59955.130000000005</v>
      </c>
      <c r="L62" s="465"/>
      <c r="M62" s="37">
        <f t="shared" ref="M62" si="20">K62/I62*100</f>
        <v>61.22345342825578</v>
      </c>
    </row>
    <row r="63" spans="1:15" x14ac:dyDescent="0.25">
      <c r="A63" s="455" t="s">
        <v>98</v>
      </c>
      <c r="B63" s="456"/>
      <c r="C63" s="456"/>
      <c r="D63" s="456"/>
      <c r="E63" s="456"/>
      <c r="F63" s="457"/>
      <c r="G63" s="466">
        <f>G65</f>
        <v>0</v>
      </c>
      <c r="H63" s="467"/>
      <c r="I63" s="466">
        <f t="shared" ref="I63" si="21">I65</f>
        <v>1800</v>
      </c>
      <c r="J63" s="467"/>
      <c r="K63" s="466">
        <f t="shared" ref="K63" si="22">K65</f>
        <v>1798.57</v>
      </c>
      <c r="L63" s="467"/>
      <c r="M63" s="443">
        <f t="shared" ref="M63:M67" si="23">K63/I63*100</f>
        <v>99.920555555555552</v>
      </c>
    </row>
    <row r="64" spans="1:15" x14ac:dyDescent="0.25">
      <c r="A64" s="455" t="s">
        <v>99</v>
      </c>
      <c r="B64" s="456"/>
      <c r="C64" s="456"/>
      <c r="D64" s="456"/>
      <c r="E64" s="456"/>
      <c r="F64" s="457"/>
      <c r="G64" s="438"/>
      <c r="H64" s="439"/>
      <c r="I64" s="438"/>
      <c r="J64" s="439"/>
      <c r="K64" s="438"/>
      <c r="L64" s="439"/>
      <c r="M64" s="443" t="e">
        <f t="shared" si="23"/>
        <v>#DIV/0!</v>
      </c>
    </row>
    <row r="65" spans="1:13" x14ac:dyDescent="0.25">
      <c r="A65" s="27">
        <v>32</v>
      </c>
      <c r="B65" s="28" t="s">
        <v>48</v>
      </c>
      <c r="C65" s="28"/>
      <c r="D65" s="28"/>
      <c r="E65" s="28"/>
      <c r="F65" s="31"/>
      <c r="G65" s="426">
        <f>SUM(G66:H68)</f>
        <v>0</v>
      </c>
      <c r="H65" s="427"/>
      <c r="I65" s="426">
        <f>SUM(I66:J68)</f>
        <v>1800</v>
      </c>
      <c r="J65" s="427"/>
      <c r="K65" s="426">
        <f>SUM(K66:L68)</f>
        <v>1798.57</v>
      </c>
      <c r="L65" s="427"/>
      <c r="M65" s="57">
        <f>K65/I65*100</f>
        <v>99.920555555555552</v>
      </c>
    </row>
    <row r="66" spans="1:13" x14ac:dyDescent="0.25">
      <c r="A66" s="9">
        <v>3221</v>
      </c>
      <c r="B66" s="30" t="s">
        <v>139</v>
      </c>
      <c r="C66" s="30"/>
      <c r="D66" s="30"/>
      <c r="E66" s="30"/>
      <c r="F66" s="31"/>
      <c r="G66" s="175">
        <v>0</v>
      </c>
      <c r="H66" s="176"/>
      <c r="I66" s="175">
        <v>0</v>
      </c>
      <c r="J66" s="176"/>
      <c r="K66" s="175">
        <v>0</v>
      </c>
      <c r="L66" s="176"/>
      <c r="M66" s="58" t="e">
        <f t="shared" si="23"/>
        <v>#DIV/0!</v>
      </c>
    </row>
    <row r="67" spans="1:13" x14ac:dyDescent="0.25">
      <c r="A67" s="9">
        <v>3239</v>
      </c>
      <c r="B67" s="30" t="s">
        <v>66</v>
      </c>
      <c r="C67" s="30"/>
      <c r="D67" s="30"/>
      <c r="E67" s="30"/>
      <c r="F67" s="31"/>
      <c r="G67" s="175">
        <v>0</v>
      </c>
      <c r="H67" s="176"/>
      <c r="I67" s="175">
        <v>0</v>
      </c>
      <c r="J67" s="176"/>
      <c r="K67" s="175">
        <v>0</v>
      </c>
      <c r="L67" s="176"/>
      <c r="M67" s="58" t="e">
        <f t="shared" si="23"/>
        <v>#DIV/0!</v>
      </c>
    </row>
    <row r="68" spans="1:13" x14ac:dyDescent="0.25">
      <c r="A68" s="9">
        <v>3299</v>
      </c>
      <c r="B68" s="30" t="s">
        <v>108</v>
      </c>
      <c r="C68" s="30"/>
      <c r="D68" s="30"/>
      <c r="E68" s="30"/>
      <c r="F68" s="31"/>
      <c r="G68" s="175">
        <v>0</v>
      </c>
      <c r="H68" s="176"/>
      <c r="I68" s="175">
        <v>1800</v>
      </c>
      <c r="J68" s="176"/>
      <c r="K68" s="175">
        <v>1798.57</v>
      </c>
      <c r="L68" s="176"/>
      <c r="M68" s="58">
        <f>K68/I68*100</f>
        <v>99.920555555555552</v>
      </c>
    </row>
    <row r="69" spans="1:13" s="74" customFormat="1" x14ac:dyDescent="0.25">
      <c r="A69" s="455" t="s">
        <v>238</v>
      </c>
      <c r="B69" s="481"/>
      <c r="C69" s="481"/>
      <c r="D69" s="481"/>
      <c r="E69" s="481"/>
      <c r="F69" s="456"/>
      <c r="G69" s="498">
        <f>G70+G80</f>
        <v>18800</v>
      </c>
      <c r="H69" s="498"/>
      <c r="I69" s="498">
        <f>I70+I80</f>
        <v>18800</v>
      </c>
      <c r="J69" s="498"/>
      <c r="K69" s="498">
        <f>K70+K80</f>
        <v>10307.700000000001</v>
      </c>
      <c r="L69" s="498"/>
      <c r="M69" s="61">
        <f>K69/I69*100</f>
        <v>54.828191489361714</v>
      </c>
    </row>
    <row r="70" spans="1:13" s="74" customFormat="1" x14ac:dyDescent="0.25">
      <c r="A70" s="492" t="s">
        <v>239</v>
      </c>
      <c r="B70" s="493"/>
      <c r="C70" s="493"/>
      <c r="D70" s="493"/>
      <c r="E70" s="493"/>
      <c r="F70" s="493"/>
      <c r="G70" s="494">
        <f>G71+G74</f>
        <v>12000</v>
      </c>
      <c r="H70" s="494"/>
      <c r="I70" s="494">
        <f>I71+I74+I79</f>
        <v>12000</v>
      </c>
      <c r="J70" s="494"/>
      <c r="K70" s="494">
        <f>K71+K74+K79</f>
        <v>5492.67</v>
      </c>
      <c r="L70" s="494"/>
      <c r="M70" s="150">
        <f>K70/I70*100</f>
        <v>45.77225</v>
      </c>
    </row>
    <row r="71" spans="1:13" s="74" customFormat="1" x14ac:dyDescent="0.25">
      <c r="A71" s="27">
        <v>31</v>
      </c>
      <c r="B71" s="28" t="s">
        <v>240</v>
      </c>
      <c r="C71" s="28"/>
      <c r="D71" s="28"/>
      <c r="E71" s="28"/>
      <c r="F71" s="30"/>
      <c r="G71" s="384">
        <f>SUM(G72)</f>
        <v>10000</v>
      </c>
      <c r="H71" s="384"/>
      <c r="I71" s="384">
        <f t="shared" ref="I71" si="24">SUM(I72)</f>
        <v>10000</v>
      </c>
      <c r="J71" s="384"/>
      <c r="K71" s="384">
        <f t="shared" ref="K71" si="25">SUM(K72)</f>
        <v>5492.67</v>
      </c>
      <c r="L71" s="384"/>
      <c r="M71" s="161">
        <f t="shared" ref="M71:M79" si="26">K71/I71*100</f>
        <v>54.926700000000004</v>
      </c>
    </row>
    <row r="72" spans="1:13" s="74" customFormat="1" x14ac:dyDescent="0.25">
      <c r="A72" s="15">
        <v>311</v>
      </c>
      <c r="B72" s="5" t="s">
        <v>241</v>
      </c>
      <c r="C72" s="5"/>
      <c r="D72" s="5"/>
      <c r="E72" s="5"/>
      <c r="F72" s="5"/>
      <c r="G72" s="384">
        <f>SUM(G73)</f>
        <v>10000</v>
      </c>
      <c r="H72" s="384"/>
      <c r="I72" s="384">
        <f t="shared" ref="I72" si="27">SUM(I73)</f>
        <v>10000</v>
      </c>
      <c r="J72" s="384"/>
      <c r="K72" s="384">
        <f t="shared" ref="K72" si="28">SUM(K73)</f>
        <v>5492.67</v>
      </c>
      <c r="L72" s="384"/>
      <c r="M72" s="161">
        <f t="shared" si="26"/>
        <v>54.926700000000004</v>
      </c>
    </row>
    <row r="73" spans="1:13" s="74" customFormat="1" x14ac:dyDescent="0.25">
      <c r="A73" s="9">
        <v>3113</v>
      </c>
      <c r="B73" s="30" t="s">
        <v>44</v>
      </c>
      <c r="C73" s="30"/>
      <c r="D73" s="30"/>
      <c r="E73" s="30"/>
      <c r="F73" s="28"/>
      <c r="G73" s="401">
        <v>10000</v>
      </c>
      <c r="H73" s="401"/>
      <c r="I73" s="401">
        <v>10000</v>
      </c>
      <c r="J73" s="401"/>
      <c r="K73" s="401">
        <v>5492.67</v>
      </c>
      <c r="L73" s="401"/>
      <c r="M73" s="161">
        <f t="shared" si="26"/>
        <v>54.926700000000004</v>
      </c>
    </row>
    <row r="74" spans="1:13" s="74" customFormat="1" x14ac:dyDescent="0.25">
      <c r="A74" s="27">
        <v>32</v>
      </c>
      <c r="B74" s="28" t="s">
        <v>242</v>
      </c>
      <c r="C74" s="28"/>
      <c r="D74" s="28"/>
      <c r="E74" s="28"/>
      <c r="F74" s="30"/>
      <c r="G74" s="384">
        <f>SUM(G75+G77)</f>
        <v>2000</v>
      </c>
      <c r="H74" s="384"/>
      <c r="I74" s="384">
        <f t="shared" ref="I74" si="29">SUM(I75+I77)</f>
        <v>2000</v>
      </c>
      <c r="J74" s="384"/>
      <c r="K74" s="384">
        <f t="shared" ref="K74" si="30">SUM(K75+K77)</f>
        <v>0</v>
      </c>
      <c r="L74" s="384"/>
      <c r="M74" s="161">
        <f t="shared" si="26"/>
        <v>0</v>
      </c>
    </row>
    <row r="75" spans="1:13" s="74" customFormat="1" x14ac:dyDescent="0.25">
      <c r="A75" s="15">
        <v>322</v>
      </c>
      <c r="B75" s="5" t="s">
        <v>242</v>
      </c>
      <c r="C75" s="5"/>
      <c r="D75" s="5"/>
      <c r="E75" s="5"/>
      <c r="F75" s="5"/>
      <c r="G75" s="384">
        <f>SUM(G76)</f>
        <v>500</v>
      </c>
      <c r="H75" s="384"/>
      <c r="I75" s="384">
        <f>SUM(I76)</f>
        <v>500</v>
      </c>
      <c r="J75" s="384"/>
      <c r="K75" s="384">
        <f t="shared" ref="K75" si="31">SUM(K76)</f>
        <v>0</v>
      </c>
      <c r="L75" s="384"/>
      <c r="M75" s="161">
        <f t="shared" si="26"/>
        <v>0</v>
      </c>
    </row>
    <row r="76" spans="1:13" s="74" customFormat="1" x14ac:dyDescent="0.25">
      <c r="A76" s="9">
        <v>3221</v>
      </c>
      <c r="B76" s="30" t="s">
        <v>54</v>
      </c>
      <c r="C76" s="30"/>
      <c r="D76" s="30"/>
      <c r="E76" s="30"/>
      <c r="F76" s="28"/>
      <c r="G76" s="401">
        <v>500</v>
      </c>
      <c r="H76" s="401"/>
      <c r="I76" s="401">
        <v>500</v>
      </c>
      <c r="J76" s="401"/>
      <c r="K76" s="384">
        <v>0</v>
      </c>
      <c r="L76" s="384"/>
      <c r="M76" s="161">
        <f t="shared" si="26"/>
        <v>0</v>
      </c>
    </row>
    <row r="77" spans="1:13" s="74" customFormat="1" x14ac:dyDescent="0.25">
      <c r="A77" s="15">
        <v>323</v>
      </c>
      <c r="B77" s="5" t="s">
        <v>243</v>
      </c>
      <c r="C77" s="5"/>
      <c r="D77" s="5"/>
      <c r="E77" s="5"/>
      <c r="F77" s="5"/>
      <c r="G77" s="384">
        <f>SUM(G78)</f>
        <v>1500</v>
      </c>
      <c r="H77" s="384"/>
      <c r="I77" s="384">
        <f>SUM(I78)</f>
        <v>1500</v>
      </c>
      <c r="J77" s="384"/>
      <c r="K77" s="384">
        <f>SUM(K78:L79)</f>
        <v>0</v>
      </c>
      <c r="L77" s="384"/>
      <c r="M77" s="161">
        <f t="shared" si="26"/>
        <v>0</v>
      </c>
    </row>
    <row r="78" spans="1:13" s="74" customFormat="1" x14ac:dyDescent="0.25">
      <c r="A78" s="9">
        <v>3237</v>
      </c>
      <c r="B78" s="30" t="s">
        <v>64</v>
      </c>
      <c r="C78" s="30"/>
      <c r="D78" s="30"/>
      <c r="E78" s="30"/>
      <c r="F78" s="28"/>
      <c r="G78" s="401">
        <v>1500</v>
      </c>
      <c r="H78" s="401"/>
      <c r="I78" s="419">
        <v>1500</v>
      </c>
      <c r="J78" s="419"/>
      <c r="K78" s="419">
        <v>0</v>
      </c>
      <c r="L78" s="419"/>
      <c r="M78" s="161">
        <f t="shared" si="26"/>
        <v>0</v>
      </c>
    </row>
    <row r="79" spans="1:13" s="74" customFormat="1" x14ac:dyDescent="0.25">
      <c r="A79" s="9">
        <v>4221</v>
      </c>
      <c r="B79" s="30" t="s">
        <v>247</v>
      </c>
      <c r="C79" s="30"/>
      <c r="D79" s="30"/>
      <c r="E79" s="30"/>
      <c r="F79" s="28"/>
      <c r="G79" s="401">
        <v>0</v>
      </c>
      <c r="H79" s="401"/>
      <c r="I79" s="401"/>
      <c r="J79" s="401"/>
      <c r="K79" s="384">
        <v>0</v>
      </c>
      <c r="L79" s="384"/>
      <c r="M79" s="161" t="e">
        <f t="shared" si="26"/>
        <v>#DIV/0!</v>
      </c>
    </row>
    <row r="80" spans="1:13" s="74" customFormat="1" x14ac:dyDescent="0.25">
      <c r="A80" s="492" t="s">
        <v>244</v>
      </c>
      <c r="B80" s="493"/>
      <c r="C80" s="493"/>
      <c r="D80" s="493"/>
      <c r="E80" s="493"/>
      <c r="F80" s="493"/>
      <c r="G80" s="494">
        <f>G81+G84+G94</f>
        <v>6800</v>
      </c>
      <c r="H80" s="494"/>
      <c r="I80" s="494">
        <f>I81+I84+I94</f>
        <v>6800</v>
      </c>
      <c r="J80" s="494"/>
      <c r="K80" s="494">
        <f t="shared" ref="K80" si="32">K81+K84+K94</f>
        <v>4815.03</v>
      </c>
      <c r="L80" s="494"/>
      <c r="M80" s="150">
        <f>K80/I80*100</f>
        <v>70.809264705882342</v>
      </c>
    </row>
    <row r="81" spans="1:13" s="74" customFormat="1" x14ac:dyDescent="0.25">
      <c r="A81" s="27">
        <v>31</v>
      </c>
      <c r="B81" s="28" t="s">
        <v>240</v>
      </c>
      <c r="C81" s="28"/>
      <c r="D81" s="28"/>
      <c r="E81" s="28"/>
      <c r="F81" s="30"/>
      <c r="G81" s="384">
        <f>SUM(G82)</f>
        <v>5000</v>
      </c>
      <c r="H81" s="384"/>
      <c r="I81" s="384">
        <f>SUM(I82)</f>
        <v>5000</v>
      </c>
      <c r="J81" s="384"/>
      <c r="K81" s="384">
        <f>SUM(K82)</f>
        <v>4591.08</v>
      </c>
      <c r="L81" s="384"/>
      <c r="M81" s="161">
        <f t="shared" ref="M81:M97" si="33">K81/I81*100</f>
        <v>91.821600000000004</v>
      </c>
    </row>
    <row r="82" spans="1:13" s="74" customFormat="1" x14ac:dyDescent="0.25">
      <c r="A82" s="15">
        <v>311</v>
      </c>
      <c r="B82" s="242" t="s">
        <v>241</v>
      </c>
      <c r="C82" s="242"/>
      <c r="D82" s="242"/>
      <c r="E82" s="242"/>
      <c r="F82" s="424"/>
      <c r="G82" s="384">
        <f>SUM(G83)</f>
        <v>5000</v>
      </c>
      <c r="H82" s="384"/>
      <c r="I82" s="384">
        <f>SUM(I83)</f>
        <v>5000</v>
      </c>
      <c r="J82" s="384"/>
      <c r="K82" s="384">
        <f t="shared" ref="K82" si="34">SUM(K83)</f>
        <v>4591.08</v>
      </c>
      <c r="L82" s="384"/>
      <c r="M82" s="161">
        <f t="shared" si="33"/>
        <v>91.821600000000004</v>
      </c>
    </row>
    <row r="83" spans="1:13" s="74" customFormat="1" x14ac:dyDescent="0.25">
      <c r="A83" s="9">
        <v>3113</v>
      </c>
      <c r="B83" s="342" t="s">
        <v>44</v>
      </c>
      <c r="C83" s="342"/>
      <c r="D83" s="342"/>
      <c r="E83" s="342"/>
      <c r="F83" s="482"/>
      <c r="G83" s="401">
        <v>5000</v>
      </c>
      <c r="H83" s="401"/>
      <c r="I83" s="401">
        <v>5000</v>
      </c>
      <c r="J83" s="401"/>
      <c r="K83" s="419">
        <v>4591.08</v>
      </c>
      <c r="L83" s="419"/>
      <c r="M83" s="161">
        <f t="shared" si="33"/>
        <v>91.821600000000004</v>
      </c>
    </row>
    <row r="84" spans="1:13" s="74" customFormat="1" x14ac:dyDescent="0.25">
      <c r="A84" s="27">
        <v>32</v>
      </c>
      <c r="B84" s="242" t="s">
        <v>242</v>
      </c>
      <c r="C84" s="242"/>
      <c r="D84" s="242"/>
      <c r="E84" s="242"/>
      <c r="F84" s="424"/>
      <c r="G84" s="384">
        <f>G85+G87+G89+G93</f>
        <v>800</v>
      </c>
      <c r="H84" s="384"/>
      <c r="I84" s="384">
        <f t="shared" ref="I84" si="35">SUM(I89)</f>
        <v>800</v>
      </c>
      <c r="J84" s="384"/>
      <c r="K84" s="384">
        <f t="shared" ref="K84" si="36">SUM(K89)</f>
        <v>223.95</v>
      </c>
      <c r="L84" s="384"/>
      <c r="M84" s="161">
        <f t="shared" si="33"/>
        <v>27.993750000000002</v>
      </c>
    </row>
    <row r="85" spans="1:13" s="74" customFormat="1" x14ac:dyDescent="0.25">
      <c r="A85" s="15">
        <v>321</v>
      </c>
      <c r="B85" s="242" t="s">
        <v>49</v>
      </c>
      <c r="C85" s="242"/>
      <c r="D85" s="242"/>
      <c r="E85" s="242"/>
      <c r="F85" s="424"/>
      <c r="G85" s="384">
        <f>SUM(G86)</f>
        <v>0</v>
      </c>
      <c r="H85" s="384"/>
      <c r="I85" s="384">
        <f t="shared" ref="I85" si="37">SUM(I86)</f>
        <v>0</v>
      </c>
      <c r="J85" s="384"/>
      <c r="K85" s="384">
        <f t="shared" ref="K85" si="38">SUM(K86)</f>
        <v>0</v>
      </c>
      <c r="L85" s="384"/>
      <c r="M85" s="161" t="e">
        <f t="shared" si="33"/>
        <v>#DIV/0!</v>
      </c>
    </row>
    <row r="86" spans="1:13" s="74" customFormat="1" x14ac:dyDescent="0.25">
      <c r="A86" s="9">
        <v>3211</v>
      </c>
      <c r="B86" s="342" t="s">
        <v>249</v>
      </c>
      <c r="C86" s="342"/>
      <c r="D86" s="342"/>
      <c r="E86" s="342"/>
      <c r="F86" s="482"/>
      <c r="G86" s="401">
        <v>0</v>
      </c>
      <c r="H86" s="401"/>
      <c r="I86" s="419">
        <v>0</v>
      </c>
      <c r="J86" s="419"/>
      <c r="K86" s="419">
        <v>0</v>
      </c>
      <c r="L86" s="419"/>
      <c r="M86" s="161" t="e">
        <f t="shared" si="33"/>
        <v>#DIV/0!</v>
      </c>
    </row>
    <row r="87" spans="1:13" s="74" customFormat="1" x14ac:dyDescent="0.25">
      <c r="A87" s="15">
        <v>322</v>
      </c>
      <c r="B87" s="242" t="s">
        <v>53</v>
      </c>
      <c r="C87" s="242"/>
      <c r="D87" s="242"/>
      <c r="E87" s="242"/>
      <c r="F87" s="424"/>
      <c r="G87" s="384">
        <f>SUM(G88)</f>
        <v>800</v>
      </c>
      <c r="H87" s="384"/>
      <c r="I87" s="384">
        <f t="shared" ref="I87" si="39">SUM(I88)</f>
        <v>0</v>
      </c>
      <c r="J87" s="384"/>
      <c r="K87" s="384">
        <f t="shared" ref="K87" si="40">SUM(K88)</f>
        <v>0</v>
      </c>
      <c r="L87" s="384"/>
      <c r="M87" s="161" t="e">
        <f t="shared" si="33"/>
        <v>#DIV/0!</v>
      </c>
    </row>
    <row r="88" spans="1:13" s="74" customFormat="1" x14ac:dyDescent="0.25">
      <c r="A88" s="9">
        <v>3221</v>
      </c>
      <c r="B88" s="342" t="s">
        <v>139</v>
      </c>
      <c r="C88" s="342"/>
      <c r="D88" s="342"/>
      <c r="E88" s="342"/>
      <c r="F88" s="482"/>
      <c r="G88" s="401">
        <v>800</v>
      </c>
      <c r="H88" s="401"/>
      <c r="I88" s="419">
        <v>0</v>
      </c>
      <c r="J88" s="419"/>
      <c r="K88" s="419">
        <v>0</v>
      </c>
      <c r="L88" s="419"/>
      <c r="M88" s="161" t="e">
        <f t="shared" si="33"/>
        <v>#DIV/0!</v>
      </c>
    </row>
    <row r="89" spans="1:13" s="74" customFormat="1" x14ac:dyDescent="0.25">
      <c r="A89" s="15">
        <v>323</v>
      </c>
      <c r="B89" s="242" t="s">
        <v>243</v>
      </c>
      <c r="C89" s="242"/>
      <c r="D89" s="242"/>
      <c r="E89" s="242"/>
      <c r="F89" s="424"/>
      <c r="G89" s="384">
        <f>SUM(G90:H92)</f>
        <v>0</v>
      </c>
      <c r="H89" s="384"/>
      <c r="I89" s="384">
        <f t="shared" ref="I89" si="41">SUM(I90:J92)</f>
        <v>800</v>
      </c>
      <c r="J89" s="384"/>
      <c r="K89" s="384">
        <f t="shared" ref="K89" si="42">SUM(K90:L92)</f>
        <v>223.95</v>
      </c>
      <c r="L89" s="384"/>
      <c r="M89" s="161">
        <f t="shared" si="33"/>
        <v>27.993750000000002</v>
      </c>
    </row>
    <row r="90" spans="1:13" s="74" customFormat="1" x14ac:dyDescent="0.25">
      <c r="A90" s="9">
        <v>3235</v>
      </c>
      <c r="B90" s="342" t="s">
        <v>251</v>
      </c>
      <c r="C90" s="342"/>
      <c r="D90" s="342"/>
      <c r="E90" s="342"/>
      <c r="F90" s="482"/>
      <c r="G90" s="468">
        <v>0</v>
      </c>
      <c r="H90" s="469"/>
      <c r="I90" s="468">
        <v>0</v>
      </c>
      <c r="J90" s="469"/>
      <c r="K90" s="468">
        <v>0</v>
      </c>
      <c r="L90" s="469"/>
      <c r="M90" s="161" t="e">
        <f t="shared" si="33"/>
        <v>#DIV/0!</v>
      </c>
    </row>
    <row r="91" spans="1:13" s="74" customFormat="1" x14ac:dyDescent="0.25">
      <c r="A91" s="9">
        <v>3237</v>
      </c>
      <c r="B91" s="342" t="s">
        <v>64</v>
      </c>
      <c r="C91" s="342"/>
      <c r="D91" s="342"/>
      <c r="E91" s="342"/>
      <c r="F91" s="482"/>
      <c r="G91" s="401">
        <v>0</v>
      </c>
      <c r="H91" s="401"/>
      <c r="I91" s="419">
        <v>800</v>
      </c>
      <c r="J91" s="419"/>
      <c r="K91" s="419">
        <v>223.95</v>
      </c>
      <c r="L91" s="419"/>
      <c r="M91" s="161">
        <f t="shared" si="33"/>
        <v>27.993750000000002</v>
      </c>
    </row>
    <row r="92" spans="1:13" s="74" customFormat="1" x14ac:dyDescent="0.25">
      <c r="A92" s="9">
        <v>3239</v>
      </c>
      <c r="B92" s="342" t="s">
        <v>252</v>
      </c>
      <c r="C92" s="342"/>
      <c r="D92" s="342"/>
      <c r="E92" s="342"/>
      <c r="F92" s="482"/>
      <c r="G92" s="425">
        <v>0</v>
      </c>
      <c r="H92" s="508"/>
      <c r="I92" s="425">
        <v>0</v>
      </c>
      <c r="J92" s="508"/>
      <c r="K92" s="468">
        <v>0</v>
      </c>
      <c r="L92" s="469"/>
      <c r="M92" s="161" t="e">
        <f t="shared" si="33"/>
        <v>#DIV/0!</v>
      </c>
    </row>
    <row r="93" spans="1:13" s="74" customFormat="1" x14ac:dyDescent="0.25">
      <c r="A93" s="15">
        <v>329</v>
      </c>
      <c r="B93" s="242" t="s">
        <v>67</v>
      </c>
      <c r="C93" s="242"/>
      <c r="D93" s="242"/>
      <c r="E93" s="242"/>
      <c r="F93" s="424"/>
      <c r="G93" s="384">
        <v>0</v>
      </c>
      <c r="H93" s="384"/>
      <c r="I93" s="384">
        <v>0</v>
      </c>
      <c r="J93" s="384"/>
      <c r="K93" s="384">
        <v>0</v>
      </c>
      <c r="L93" s="384"/>
      <c r="M93" s="161" t="e">
        <f t="shared" si="33"/>
        <v>#DIV/0!</v>
      </c>
    </row>
    <row r="94" spans="1:13" s="74" customFormat="1" x14ac:dyDescent="0.25">
      <c r="A94" s="148">
        <v>42</v>
      </c>
      <c r="B94" s="149" t="s">
        <v>245</v>
      </c>
      <c r="C94" s="149"/>
      <c r="D94" s="149"/>
      <c r="E94" s="149"/>
      <c r="F94" s="149"/>
      <c r="G94" s="394">
        <f>SUM(G95)</f>
        <v>1000</v>
      </c>
      <c r="H94" s="470"/>
      <c r="I94" s="394">
        <f>SUM(I95)</f>
        <v>1000</v>
      </c>
      <c r="J94" s="470"/>
      <c r="K94" s="394">
        <f t="shared" ref="K94" si="43">SUM(K95)</f>
        <v>0</v>
      </c>
      <c r="L94" s="470"/>
      <c r="M94" s="161">
        <f t="shared" si="33"/>
        <v>0</v>
      </c>
    </row>
    <row r="95" spans="1:13" s="74" customFormat="1" x14ac:dyDescent="0.25">
      <c r="A95" s="148">
        <v>422</v>
      </c>
      <c r="B95" s="149" t="s">
        <v>246</v>
      </c>
      <c r="C95" s="149"/>
      <c r="D95" s="149"/>
      <c r="E95" s="149"/>
      <c r="F95" s="149"/>
      <c r="G95" s="384">
        <f>SUM(G96:H97)</f>
        <v>1000</v>
      </c>
      <c r="H95" s="384"/>
      <c r="I95" s="384">
        <f>SUM(I96:J97)</f>
        <v>1000</v>
      </c>
      <c r="J95" s="384"/>
      <c r="K95" s="384">
        <f t="shared" ref="K95" si="44">SUM(K96:L97)</f>
        <v>0</v>
      </c>
      <c r="L95" s="384"/>
      <c r="M95" s="161">
        <f t="shared" si="33"/>
        <v>0</v>
      </c>
    </row>
    <row r="96" spans="1:13" s="74" customFormat="1" x14ac:dyDescent="0.25">
      <c r="A96" s="9">
        <v>4221</v>
      </c>
      <c r="B96" s="342" t="s">
        <v>247</v>
      </c>
      <c r="C96" s="342"/>
      <c r="D96" s="342"/>
      <c r="E96" s="342"/>
      <c r="F96" s="482"/>
      <c r="G96" s="425">
        <v>0</v>
      </c>
      <c r="H96" s="508"/>
      <c r="I96" s="468">
        <v>1000</v>
      </c>
      <c r="J96" s="469"/>
      <c r="K96" s="468">
        <v>0</v>
      </c>
      <c r="L96" s="469"/>
      <c r="M96" s="161">
        <f t="shared" si="33"/>
        <v>0</v>
      </c>
    </row>
    <row r="97" spans="1:15" s="74" customFormat="1" x14ac:dyDescent="0.25">
      <c r="A97" s="9">
        <v>4241</v>
      </c>
      <c r="B97" s="342" t="s">
        <v>80</v>
      </c>
      <c r="C97" s="342"/>
      <c r="D97" s="342"/>
      <c r="E97" s="342"/>
      <c r="F97" s="482"/>
      <c r="G97" s="425">
        <v>1000</v>
      </c>
      <c r="H97" s="508"/>
      <c r="I97" s="468"/>
      <c r="J97" s="469"/>
      <c r="K97" s="468">
        <v>0</v>
      </c>
      <c r="L97" s="469"/>
      <c r="M97" s="161" t="e">
        <f t="shared" si="33"/>
        <v>#DIV/0!</v>
      </c>
    </row>
    <row r="98" spans="1:15" x14ac:dyDescent="0.25">
      <c r="A98" s="452" t="s">
        <v>100</v>
      </c>
      <c r="B98" s="453"/>
      <c r="C98" s="453"/>
      <c r="D98" s="453"/>
      <c r="E98" s="453"/>
      <c r="F98" s="454"/>
      <c r="G98" s="438">
        <f>G100+G110+G116+G130+G133+G145+G150</f>
        <v>68685.23</v>
      </c>
      <c r="H98" s="439"/>
      <c r="I98" s="438">
        <f>I100+I110+I116+I130+I133+I145+I150</f>
        <v>70185.23</v>
      </c>
      <c r="J98" s="439"/>
      <c r="K98" s="438">
        <f>K100+K110+K116+K130+K133+K145+K150</f>
        <v>40707.47</v>
      </c>
      <c r="L98" s="439"/>
      <c r="M98" s="442">
        <f>K98/I98*100</f>
        <v>58.00005214772397</v>
      </c>
    </row>
    <row r="99" spans="1:15" x14ac:dyDescent="0.25">
      <c r="A99" s="478"/>
      <c r="B99" s="479"/>
      <c r="C99" s="479"/>
      <c r="D99" s="479"/>
      <c r="E99" s="479"/>
      <c r="F99" s="480"/>
      <c r="G99" s="466"/>
      <c r="H99" s="467"/>
      <c r="I99" s="466"/>
      <c r="J99" s="467"/>
      <c r="K99" s="466"/>
      <c r="L99" s="467"/>
      <c r="M99" s="471"/>
    </row>
    <row r="100" spans="1:15" x14ac:dyDescent="0.25">
      <c r="A100" s="452" t="s">
        <v>104</v>
      </c>
      <c r="B100" s="453"/>
      <c r="C100" s="453"/>
      <c r="D100" s="453"/>
      <c r="E100" s="453"/>
      <c r="F100" s="454"/>
      <c r="G100" s="438">
        <f>G101+G109</f>
        <v>4600</v>
      </c>
      <c r="H100" s="439"/>
      <c r="I100" s="438">
        <f>I101+I109</f>
        <v>6100</v>
      </c>
      <c r="J100" s="439"/>
      <c r="K100" s="438">
        <f t="shared" ref="K100" si="45">K101+K109</f>
        <v>767.22</v>
      </c>
      <c r="L100" s="439"/>
      <c r="M100" s="59">
        <f t="shared" ref="M100:M107" si="46">K100/I100*100</f>
        <v>12.577377049180328</v>
      </c>
    </row>
    <row r="101" spans="1:15" s="74" customFormat="1" x14ac:dyDescent="0.25">
      <c r="A101" s="27">
        <v>32</v>
      </c>
      <c r="B101" s="28" t="s">
        <v>48</v>
      </c>
      <c r="C101" s="28"/>
      <c r="D101" s="28"/>
      <c r="E101" s="28"/>
      <c r="F101" s="31"/>
      <c r="G101" s="426">
        <f>SUM(G102:H109)</f>
        <v>4600</v>
      </c>
      <c r="H101" s="427"/>
      <c r="I101" s="426">
        <f>SUM(I102:J108)</f>
        <v>4600</v>
      </c>
      <c r="J101" s="427"/>
      <c r="K101" s="426">
        <f>SUM(K102:L108)</f>
        <v>205.62</v>
      </c>
      <c r="L101" s="427"/>
      <c r="M101" s="84">
        <f t="shared" si="46"/>
        <v>4.4700000000000006</v>
      </c>
    </row>
    <row r="102" spans="1:15" s="74" customFormat="1" x14ac:dyDescent="0.25">
      <c r="A102" s="10">
        <v>3221</v>
      </c>
      <c r="B102" s="4" t="s">
        <v>139</v>
      </c>
      <c r="C102" s="4"/>
      <c r="D102" s="4"/>
      <c r="E102" s="4"/>
      <c r="F102" s="11"/>
      <c r="G102" s="177">
        <v>0</v>
      </c>
      <c r="H102" s="177"/>
      <c r="I102" s="177">
        <v>0</v>
      </c>
      <c r="J102" s="177"/>
      <c r="K102" s="177">
        <v>0</v>
      </c>
      <c r="L102" s="177"/>
      <c r="M102" s="34" t="e">
        <f t="shared" si="46"/>
        <v>#DIV/0!</v>
      </c>
    </row>
    <row r="103" spans="1:15" s="74" customFormat="1" x14ac:dyDescent="0.25">
      <c r="A103" s="10">
        <v>3225</v>
      </c>
      <c r="B103" s="4" t="s">
        <v>57</v>
      </c>
      <c r="C103" s="4"/>
      <c r="D103" s="4"/>
      <c r="E103" s="4"/>
      <c r="F103" s="11"/>
      <c r="G103" s="177">
        <v>0</v>
      </c>
      <c r="H103" s="177"/>
      <c r="I103" s="177">
        <v>0</v>
      </c>
      <c r="J103" s="177"/>
      <c r="K103" s="177">
        <v>0</v>
      </c>
      <c r="L103" s="177"/>
      <c r="M103" s="34" t="e">
        <f t="shared" si="46"/>
        <v>#DIV/0!</v>
      </c>
    </row>
    <row r="104" spans="1:15" s="74" customFormat="1" x14ac:dyDescent="0.25">
      <c r="A104" s="10">
        <v>3232</v>
      </c>
      <c r="B104" s="4" t="s">
        <v>61</v>
      </c>
      <c r="C104" s="4"/>
      <c r="D104" s="4"/>
      <c r="E104" s="4"/>
      <c r="F104" s="11"/>
      <c r="G104" s="177">
        <v>0</v>
      </c>
      <c r="H104" s="178"/>
      <c r="I104" s="177">
        <v>0</v>
      </c>
      <c r="J104" s="178"/>
      <c r="K104" s="177">
        <v>0</v>
      </c>
      <c r="L104" s="178"/>
      <c r="M104" s="34" t="e">
        <f t="shared" si="46"/>
        <v>#DIV/0!</v>
      </c>
    </row>
    <row r="105" spans="1:15" s="74" customFormat="1" x14ac:dyDescent="0.25">
      <c r="A105" s="10">
        <v>3293</v>
      </c>
      <c r="B105" s="4" t="s">
        <v>70</v>
      </c>
      <c r="C105" s="4"/>
      <c r="D105" s="4"/>
      <c r="E105" s="4"/>
      <c r="F105" s="11"/>
      <c r="G105" s="177">
        <v>2500</v>
      </c>
      <c r="H105" s="178"/>
      <c r="I105" s="177">
        <v>2500</v>
      </c>
      <c r="J105" s="178"/>
      <c r="K105" s="177">
        <v>0</v>
      </c>
      <c r="L105" s="178"/>
      <c r="M105" s="34">
        <f t="shared" si="46"/>
        <v>0</v>
      </c>
    </row>
    <row r="106" spans="1:15" s="74" customFormat="1" x14ac:dyDescent="0.25">
      <c r="A106" s="10">
        <v>3299</v>
      </c>
      <c r="B106" s="4" t="s">
        <v>67</v>
      </c>
      <c r="C106" s="4"/>
      <c r="D106" s="4"/>
      <c r="E106" s="4"/>
      <c r="F106" s="11"/>
      <c r="G106" s="177">
        <v>1500</v>
      </c>
      <c r="H106" s="178"/>
      <c r="I106" s="177">
        <v>1500</v>
      </c>
      <c r="J106" s="178"/>
      <c r="K106" s="177">
        <v>0</v>
      </c>
      <c r="L106" s="178"/>
      <c r="M106" s="34">
        <f t="shared" si="46"/>
        <v>0</v>
      </c>
    </row>
    <row r="107" spans="1:15" s="74" customFormat="1" x14ac:dyDescent="0.25">
      <c r="A107" s="10">
        <v>4221</v>
      </c>
      <c r="B107" s="342" t="s">
        <v>248</v>
      </c>
      <c r="C107" s="342"/>
      <c r="D107" s="342"/>
      <c r="E107" s="342"/>
      <c r="F107" s="343"/>
      <c r="G107" s="177">
        <v>400</v>
      </c>
      <c r="H107" s="178"/>
      <c r="I107" s="177">
        <v>400</v>
      </c>
      <c r="J107" s="178"/>
      <c r="K107" s="177">
        <v>0</v>
      </c>
      <c r="L107" s="178"/>
      <c r="M107" s="34">
        <f t="shared" si="46"/>
        <v>0</v>
      </c>
    </row>
    <row r="108" spans="1:15" s="74" customFormat="1" x14ac:dyDescent="0.25">
      <c r="A108" s="10">
        <v>4241</v>
      </c>
      <c r="B108" s="342" t="s">
        <v>80</v>
      </c>
      <c r="C108" s="342"/>
      <c r="D108" s="342"/>
      <c r="E108" s="342"/>
      <c r="F108" s="343"/>
      <c r="G108" s="177">
        <v>200</v>
      </c>
      <c r="H108" s="178"/>
      <c r="I108" s="177">
        <v>200</v>
      </c>
      <c r="J108" s="178"/>
      <c r="K108" s="177">
        <v>205.62</v>
      </c>
      <c r="L108" s="178"/>
      <c r="M108" s="34">
        <f>K108/I108*100</f>
        <v>102.81</v>
      </c>
    </row>
    <row r="109" spans="1:15" s="74" customFormat="1" x14ac:dyDescent="0.25">
      <c r="A109" s="152">
        <v>4223</v>
      </c>
      <c r="B109" s="342" t="s">
        <v>262</v>
      </c>
      <c r="C109" s="342"/>
      <c r="D109" s="342"/>
      <c r="E109" s="342"/>
      <c r="F109" s="343"/>
      <c r="G109" s="177">
        <v>0</v>
      </c>
      <c r="H109" s="178"/>
      <c r="I109" s="177">
        <v>1500</v>
      </c>
      <c r="J109" s="178"/>
      <c r="K109" s="177">
        <v>561.6</v>
      </c>
      <c r="L109" s="178"/>
      <c r="M109" s="34">
        <f>K109/I109*100</f>
        <v>37.44</v>
      </c>
    </row>
    <row r="110" spans="1:15" s="74" customFormat="1" x14ac:dyDescent="0.25">
      <c r="A110" s="452" t="s">
        <v>103</v>
      </c>
      <c r="B110" s="453"/>
      <c r="C110" s="453"/>
      <c r="D110" s="453"/>
      <c r="E110" s="453"/>
      <c r="F110" s="454"/>
      <c r="G110" s="438">
        <f>G111+G115</f>
        <v>2900</v>
      </c>
      <c r="H110" s="439"/>
      <c r="I110" s="438">
        <f>I111+I115</f>
        <v>2900</v>
      </c>
      <c r="J110" s="439"/>
      <c r="K110" s="438">
        <f>K111+K115</f>
        <v>0</v>
      </c>
      <c r="L110" s="439"/>
      <c r="M110" s="145">
        <f t="shared" ref="M110:M144" si="47">K110/I110*100</f>
        <v>0</v>
      </c>
      <c r="N110"/>
      <c r="O110"/>
    </row>
    <row r="111" spans="1:15" x14ac:dyDescent="0.25">
      <c r="A111" s="27">
        <v>32</v>
      </c>
      <c r="B111" s="509" t="s">
        <v>48</v>
      </c>
      <c r="C111" s="509"/>
      <c r="D111" s="509"/>
      <c r="E111" s="509"/>
      <c r="F111" s="510"/>
      <c r="G111" s="426">
        <f>SUM(G112:H114)</f>
        <v>2500</v>
      </c>
      <c r="H111" s="427"/>
      <c r="I111" s="426">
        <f>SUM(I112:J114)</f>
        <v>2500</v>
      </c>
      <c r="J111" s="427"/>
      <c r="K111" s="426">
        <f>SUM(K112:L115)</f>
        <v>0</v>
      </c>
      <c r="L111" s="427"/>
      <c r="M111" s="62">
        <f>K111/I111*100</f>
        <v>0</v>
      </c>
    </row>
    <row r="112" spans="1:15" x14ac:dyDescent="0.25">
      <c r="A112" s="21">
        <v>3221</v>
      </c>
      <c r="B112" s="342" t="s">
        <v>54</v>
      </c>
      <c r="C112" s="342"/>
      <c r="D112" s="342"/>
      <c r="E112" s="342"/>
      <c r="F112" s="343"/>
      <c r="G112" s="434">
        <v>0</v>
      </c>
      <c r="H112" s="435"/>
      <c r="I112" s="434">
        <v>0</v>
      </c>
      <c r="J112" s="435"/>
      <c r="K112" s="434">
        <v>0</v>
      </c>
      <c r="L112" s="435"/>
      <c r="M112" s="58" t="e">
        <f t="shared" si="47"/>
        <v>#DIV/0!</v>
      </c>
    </row>
    <row r="113" spans="1:13" s="74" customFormat="1" x14ac:dyDescent="0.25">
      <c r="A113" s="10">
        <v>3293</v>
      </c>
      <c r="B113" s="342" t="s">
        <v>70</v>
      </c>
      <c r="C113" s="342"/>
      <c r="D113" s="342"/>
      <c r="E113" s="342"/>
      <c r="F113" s="343"/>
      <c r="G113" s="177">
        <v>1000</v>
      </c>
      <c r="H113" s="178"/>
      <c r="I113" s="177">
        <v>1000</v>
      </c>
      <c r="J113" s="178"/>
      <c r="K113" s="177">
        <v>0</v>
      </c>
      <c r="L113" s="178"/>
      <c r="M113" s="34">
        <f t="shared" si="47"/>
        <v>0</v>
      </c>
    </row>
    <row r="114" spans="1:13" s="74" customFormat="1" x14ac:dyDescent="0.25">
      <c r="A114" s="10">
        <v>3299</v>
      </c>
      <c r="B114" s="342" t="s">
        <v>67</v>
      </c>
      <c r="C114" s="342"/>
      <c r="D114" s="342"/>
      <c r="E114" s="342"/>
      <c r="F114" s="343"/>
      <c r="G114" s="177">
        <v>1500</v>
      </c>
      <c r="H114" s="178"/>
      <c r="I114" s="177">
        <v>1500</v>
      </c>
      <c r="J114" s="178"/>
      <c r="K114" s="177">
        <v>0</v>
      </c>
      <c r="L114" s="178"/>
      <c r="M114" s="34">
        <f t="shared" si="47"/>
        <v>0</v>
      </c>
    </row>
    <row r="115" spans="1:13" s="74" customFormat="1" x14ac:dyDescent="0.25">
      <c r="A115" s="152">
        <v>4221</v>
      </c>
      <c r="B115" s="342" t="s">
        <v>248</v>
      </c>
      <c r="C115" s="342"/>
      <c r="D115" s="342"/>
      <c r="E115" s="342"/>
      <c r="F115" s="343"/>
      <c r="G115" s="177">
        <v>400</v>
      </c>
      <c r="H115" s="178"/>
      <c r="I115" s="177">
        <v>400</v>
      </c>
      <c r="J115" s="178"/>
      <c r="K115" s="177">
        <v>0</v>
      </c>
      <c r="L115" s="178"/>
      <c r="M115" s="34">
        <f t="shared" si="47"/>
        <v>0</v>
      </c>
    </row>
    <row r="116" spans="1:13" x14ac:dyDescent="0.25">
      <c r="A116" s="452" t="s">
        <v>101</v>
      </c>
      <c r="B116" s="453"/>
      <c r="C116" s="453"/>
      <c r="D116" s="453"/>
      <c r="E116" s="453"/>
      <c r="F116" s="454"/>
      <c r="G116" s="438">
        <f>G117+G120+G127</f>
        <v>29403.64</v>
      </c>
      <c r="H116" s="439"/>
      <c r="I116" s="438">
        <f>I117+I120+I127</f>
        <v>27403.64</v>
      </c>
      <c r="J116" s="439"/>
      <c r="K116" s="438">
        <f>K117+K120+K127</f>
        <v>22375.64</v>
      </c>
      <c r="L116" s="439"/>
      <c r="M116" s="59">
        <f t="shared" ref="M116" si="48">K116/I116*100</f>
        <v>81.652072498398027</v>
      </c>
    </row>
    <row r="117" spans="1:13" s="74" customFormat="1" x14ac:dyDescent="0.25">
      <c r="A117" s="27">
        <v>31</v>
      </c>
      <c r="B117" s="28" t="s">
        <v>240</v>
      </c>
      <c r="C117" s="28"/>
      <c r="D117" s="28"/>
      <c r="E117" s="28"/>
      <c r="F117" s="30"/>
      <c r="G117" s="394">
        <f>SUM(G118)</f>
        <v>12412.01</v>
      </c>
      <c r="H117" s="470"/>
      <c r="I117" s="394">
        <f>SUM(I118)</f>
        <v>12412.01</v>
      </c>
      <c r="J117" s="470"/>
      <c r="K117" s="394">
        <f>SUM(K118)</f>
        <v>14946.98</v>
      </c>
      <c r="L117" s="470"/>
      <c r="M117" s="151">
        <f>I117/G117*100</f>
        <v>100</v>
      </c>
    </row>
    <row r="118" spans="1:13" s="74" customFormat="1" x14ac:dyDescent="0.25">
      <c r="A118" s="15">
        <v>311</v>
      </c>
      <c r="B118" s="242" t="s">
        <v>241</v>
      </c>
      <c r="C118" s="242"/>
      <c r="D118" s="242"/>
      <c r="E118" s="242"/>
      <c r="F118" s="424"/>
      <c r="G118" s="394">
        <f>SUM(G119)</f>
        <v>12412.01</v>
      </c>
      <c r="H118" s="470"/>
      <c r="I118" s="394">
        <f>SUM(I119)</f>
        <v>12412.01</v>
      </c>
      <c r="J118" s="470"/>
      <c r="K118" s="394">
        <f t="shared" ref="K118" si="49">SUM(K119)</f>
        <v>14946.98</v>
      </c>
      <c r="L118" s="470"/>
      <c r="M118" s="151">
        <f>I118/G118*100</f>
        <v>100</v>
      </c>
    </row>
    <row r="119" spans="1:13" s="74" customFormat="1" x14ac:dyDescent="0.25">
      <c r="A119" s="9">
        <v>3113</v>
      </c>
      <c r="B119" s="342" t="s">
        <v>253</v>
      </c>
      <c r="C119" s="342"/>
      <c r="D119" s="342"/>
      <c r="E119" s="342"/>
      <c r="F119" s="482"/>
      <c r="G119" s="401">
        <v>12412.01</v>
      </c>
      <c r="H119" s="508"/>
      <c r="I119" s="425">
        <v>12412.01</v>
      </c>
      <c r="J119" s="508"/>
      <c r="K119" s="394">
        <v>14946.98</v>
      </c>
      <c r="L119" s="470"/>
      <c r="M119" s="151">
        <f>I119/G119*100</f>
        <v>100</v>
      </c>
    </row>
    <row r="120" spans="1:13" x14ac:dyDescent="0.25">
      <c r="A120" s="15">
        <v>32</v>
      </c>
      <c r="B120" s="5" t="s">
        <v>48</v>
      </c>
      <c r="C120" s="5"/>
      <c r="D120" s="5"/>
      <c r="E120" s="5"/>
      <c r="F120" s="16"/>
      <c r="G120" s="398">
        <f>SUM(G121:H126)</f>
        <v>13991.630000000001</v>
      </c>
      <c r="H120" s="395"/>
      <c r="I120" s="398">
        <f t="shared" ref="I120" si="50">SUM(I121:J126)</f>
        <v>13991.630000000001</v>
      </c>
      <c r="J120" s="395"/>
      <c r="K120" s="398">
        <f t="shared" ref="K120" si="51">SUM(K121:L126)</f>
        <v>6633.8499999999995</v>
      </c>
      <c r="L120" s="395"/>
      <c r="M120" s="33">
        <f>K120/I120*100</f>
        <v>47.412989051311385</v>
      </c>
    </row>
    <row r="121" spans="1:13" x14ac:dyDescent="0.25">
      <c r="A121" s="10">
        <v>3225</v>
      </c>
      <c r="B121" s="4" t="s">
        <v>254</v>
      </c>
      <c r="C121" s="4"/>
      <c r="D121" s="4"/>
      <c r="E121" s="4"/>
      <c r="F121" s="11"/>
      <c r="G121" s="177">
        <v>2000</v>
      </c>
      <c r="H121" s="178"/>
      <c r="I121" s="177">
        <v>2000</v>
      </c>
      <c r="J121" s="178"/>
      <c r="K121" s="177">
        <v>0</v>
      </c>
      <c r="L121" s="178"/>
      <c r="M121" s="34">
        <f t="shared" si="47"/>
        <v>0</v>
      </c>
    </row>
    <row r="122" spans="1:13" x14ac:dyDescent="0.25">
      <c r="A122" s="10">
        <v>3237</v>
      </c>
      <c r="B122" s="4" t="s">
        <v>250</v>
      </c>
      <c r="C122" s="4"/>
      <c r="D122" s="4"/>
      <c r="E122" s="4"/>
      <c r="F122" s="11"/>
      <c r="G122" s="177">
        <v>1500</v>
      </c>
      <c r="H122" s="178"/>
      <c r="I122" s="177">
        <v>1500</v>
      </c>
      <c r="J122" s="178"/>
      <c r="K122" s="177">
        <v>0</v>
      </c>
      <c r="L122" s="178"/>
      <c r="M122" s="34">
        <f t="shared" si="47"/>
        <v>0</v>
      </c>
    </row>
    <row r="123" spans="1:13" s="74" customFormat="1" x14ac:dyDescent="0.25">
      <c r="A123" s="10">
        <v>3239</v>
      </c>
      <c r="B123" s="4" t="s">
        <v>252</v>
      </c>
      <c r="C123" s="4"/>
      <c r="D123" s="4"/>
      <c r="E123" s="4"/>
      <c r="F123" s="11"/>
      <c r="G123" s="177">
        <v>2000</v>
      </c>
      <c r="H123" s="178"/>
      <c r="I123" s="177">
        <v>2000</v>
      </c>
      <c r="J123" s="178"/>
      <c r="K123" s="177">
        <v>0</v>
      </c>
      <c r="L123" s="178"/>
      <c r="M123" s="34">
        <f t="shared" si="47"/>
        <v>0</v>
      </c>
    </row>
    <row r="124" spans="1:13" s="74" customFormat="1" x14ac:dyDescent="0.25">
      <c r="A124" s="10">
        <v>3296</v>
      </c>
      <c r="B124" s="342" t="s">
        <v>73</v>
      </c>
      <c r="C124" s="342"/>
      <c r="D124" s="342"/>
      <c r="E124" s="342"/>
      <c r="F124" s="343"/>
      <c r="G124" s="177">
        <v>2991.63</v>
      </c>
      <c r="H124" s="178"/>
      <c r="I124" s="177">
        <v>2991.63</v>
      </c>
      <c r="J124" s="178"/>
      <c r="K124" s="177">
        <v>3383.17</v>
      </c>
      <c r="L124" s="178"/>
      <c r="M124" s="34">
        <f t="shared" si="47"/>
        <v>113.0878484304543</v>
      </c>
    </row>
    <row r="125" spans="1:13" s="74" customFormat="1" x14ac:dyDescent="0.25">
      <c r="A125" s="10">
        <v>3299</v>
      </c>
      <c r="B125" s="342" t="s">
        <v>67</v>
      </c>
      <c r="C125" s="342"/>
      <c r="D125" s="342"/>
      <c r="E125" s="342"/>
      <c r="F125" s="343"/>
      <c r="G125" s="177">
        <v>1500</v>
      </c>
      <c r="H125" s="178"/>
      <c r="I125" s="177">
        <v>1500</v>
      </c>
      <c r="J125" s="178"/>
      <c r="K125" s="177">
        <f>1203.21+2.19</f>
        <v>1205.4000000000001</v>
      </c>
      <c r="L125" s="178"/>
      <c r="M125" s="34">
        <f t="shared" si="47"/>
        <v>80.360000000000014</v>
      </c>
    </row>
    <row r="126" spans="1:13" s="74" customFormat="1" x14ac:dyDescent="0.25">
      <c r="A126" s="9">
        <v>3721</v>
      </c>
      <c r="B126" s="342" t="s">
        <v>260</v>
      </c>
      <c r="C126" s="342"/>
      <c r="D126" s="342"/>
      <c r="E126" s="342"/>
      <c r="F126" s="343"/>
      <c r="G126" s="177">
        <v>4000</v>
      </c>
      <c r="H126" s="178"/>
      <c r="I126" s="177">
        <v>4000</v>
      </c>
      <c r="J126" s="178"/>
      <c r="K126" s="177">
        <v>2045.28</v>
      </c>
      <c r="L126" s="178"/>
      <c r="M126" s="61">
        <f t="shared" si="47"/>
        <v>51.131999999999998</v>
      </c>
    </row>
    <row r="127" spans="1:13" x14ac:dyDescent="0.25">
      <c r="A127" s="27">
        <v>42</v>
      </c>
      <c r="B127" s="28" t="s">
        <v>76</v>
      </c>
      <c r="C127" s="28"/>
      <c r="D127" s="28"/>
      <c r="E127" s="28"/>
      <c r="F127" s="31"/>
      <c r="G127" s="426">
        <f>SUM(G128:H129)</f>
        <v>3000</v>
      </c>
      <c r="H127" s="427"/>
      <c r="I127" s="426">
        <f t="shared" ref="I127" si="52">I129</f>
        <v>1000</v>
      </c>
      <c r="J127" s="427"/>
      <c r="K127" s="426">
        <f t="shared" ref="K127" si="53">K129</f>
        <v>794.81</v>
      </c>
      <c r="L127" s="427"/>
      <c r="M127" s="62">
        <f>K127/I127*100</f>
        <v>79.480999999999995</v>
      </c>
    </row>
    <row r="128" spans="1:13" s="74" customFormat="1" x14ac:dyDescent="0.25">
      <c r="A128" s="10">
        <v>4227</v>
      </c>
      <c r="B128" s="4" t="s">
        <v>255</v>
      </c>
      <c r="C128" s="4"/>
      <c r="D128" s="4"/>
      <c r="E128" s="4"/>
      <c r="F128" s="11"/>
      <c r="G128" s="388">
        <v>2000</v>
      </c>
      <c r="H128" s="389"/>
      <c r="I128" s="388">
        <v>2000</v>
      </c>
      <c r="J128" s="389"/>
      <c r="K128" s="388">
        <v>0</v>
      </c>
      <c r="L128" s="389"/>
      <c r="M128" s="84">
        <f>K128/I128*100</f>
        <v>0</v>
      </c>
    </row>
    <row r="129" spans="1:15" x14ac:dyDescent="0.25">
      <c r="A129" s="21">
        <v>4241</v>
      </c>
      <c r="B129" s="3" t="s">
        <v>102</v>
      </c>
      <c r="C129" s="3"/>
      <c r="D129" s="3"/>
      <c r="E129" s="3"/>
      <c r="F129" s="22"/>
      <c r="G129" s="458">
        <v>1000</v>
      </c>
      <c r="H129" s="459"/>
      <c r="I129" s="458">
        <v>1000</v>
      </c>
      <c r="J129" s="459"/>
      <c r="K129" s="458">
        <v>794.81</v>
      </c>
      <c r="L129" s="459"/>
      <c r="M129" s="34">
        <f t="shared" si="47"/>
        <v>79.480999999999995</v>
      </c>
    </row>
    <row r="130" spans="1:15" x14ac:dyDescent="0.25">
      <c r="A130" s="452" t="s">
        <v>106</v>
      </c>
      <c r="B130" s="453"/>
      <c r="C130" s="453"/>
      <c r="D130" s="453"/>
      <c r="E130" s="453"/>
      <c r="F130" s="454"/>
      <c r="G130" s="438">
        <f t="shared" ref="G130:G131" si="54">G131</f>
        <v>1000</v>
      </c>
      <c r="H130" s="439"/>
      <c r="I130" s="438">
        <f>I131</f>
        <v>1000</v>
      </c>
      <c r="J130" s="439"/>
      <c r="K130" s="438">
        <f t="shared" ref="K130" si="55">K131</f>
        <v>0</v>
      </c>
      <c r="L130" s="439"/>
      <c r="M130" s="59">
        <f t="shared" si="47"/>
        <v>0</v>
      </c>
    </row>
    <row r="131" spans="1:15" x14ac:dyDescent="0.25">
      <c r="A131" s="27">
        <v>42</v>
      </c>
      <c r="B131" s="28" t="s">
        <v>76</v>
      </c>
      <c r="C131" s="28"/>
      <c r="D131" s="28"/>
      <c r="E131" s="28"/>
      <c r="F131" s="31"/>
      <c r="G131" s="426">
        <f t="shared" si="54"/>
        <v>1000</v>
      </c>
      <c r="H131" s="427"/>
      <c r="I131" s="426">
        <f t="shared" ref="I131" si="56">I132</f>
        <v>1000</v>
      </c>
      <c r="J131" s="427"/>
      <c r="K131" s="426">
        <f t="shared" ref="K131" si="57">K132</f>
        <v>0</v>
      </c>
      <c r="L131" s="427"/>
      <c r="M131" s="62">
        <f>K131/I131*100</f>
        <v>0</v>
      </c>
    </row>
    <row r="132" spans="1:15" x14ac:dyDescent="0.25">
      <c r="A132" s="21">
        <v>4241</v>
      </c>
      <c r="B132" s="3" t="s">
        <v>102</v>
      </c>
      <c r="C132" s="3"/>
      <c r="D132" s="3"/>
      <c r="E132" s="3"/>
      <c r="F132" s="22"/>
      <c r="G132" s="434">
        <v>1000</v>
      </c>
      <c r="H132" s="435"/>
      <c r="I132" s="434">
        <v>1000</v>
      </c>
      <c r="J132" s="435"/>
      <c r="K132" s="434">
        <v>0</v>
      </c>
      <c r="L132" s="435"/>
      <c r="M132" s="58">
        <f t="shared" si="47"/>
        <v>0</v>
      </c>
    </row>
    <row r="133" spans="1:15" x14ac:dyDescent="0.25">
      <c r="A133" s="511" t="s">
        <v>105</v>
      </c>
      <c r="B133" s="512"/>
      <c r="C133" s="512"/>
      <c r="D133" s="512"/>
      <c r="E133" s="512"/>
      <c r="F133" s="513"/>
      <c r="G133" s="436">
        <f>SUM(G134+G143)</f>
        <v>21281.59</v>
      </c>
      <c r="H133" s="437"/>
      <c r="I133" s="436">
        <f>SUM(I134+I143)</f>
        <v>23281.59</v>
      </c>
      <c r="J133" s="437"/>
      <c r="K133" s="436">
        <f>SUM(K134+K143)</f>
        <v>11724.61</v>
      </c>
      <c r="L133" s="437"/>
      <c r="M133" s="59">
        <f t="shared" si="47"/>
        <v>50.360005480725334</v>
      </c>
    </row>
    <row r="134" spans="1:15" x14ac:dyDescent="0.25">
      <c r="A134" s="15">
        <v>32</v>
      </c>
      <c r="B134" s="5" t="s">
        <v>48</v>
      </c>
      <c r="C134" s="5"/>
      <c r="D134" s="5"/>
      <c r="E134" s="5"/>
      <c r="F134" s="16"/>
      <c r="G134" s="398">
        <f>SUM(G135:H142)</f>
        <v>20781.59</v>
      </c>
      <c r="H134" s="395"/>
      <c r="I134" s="398">
        <f>SUM(I135:J142)</f>
        <v>22781.59</v>
      </c>
      <c r="J134" s="395"/>
      <c r="K134" s="398">
        <f>SUM(K135:L142)</f>
        <v>11724.61</v>
      </c>
      <c r="L134" s="395"/>
      <c r="M134" s="33">
        <f>K134/I134*100</f>
        <v>51.465284029780193</v>
      </c>
    </row>
    <row r="135" spans="1:15" x14ac:dyDescent="0.25">
      <c r="A135" s="9">
        <v>3211</v>
      </c>
      <c r="B135" s="30" t="s">
        <v>50</v>
      </c>
      <c r="C135" s="30"/>
      <c r="D135" s="30"/>
      <c r="E135" s="30"/>
      <c r="F135" s="29"/>
      <c r="G135" s="177">
        <v>3000</v>
      </c>
      <c r="H135" s="178"/>
      <c r="I135" s="177">
        <v>3000</v>
      </c>
      <c r="J135" s="178"/>
      <c r="K135" s="177">
        <v>624.05999999999995</v>
      </c>
      <c r="L135" s="178"/>
      <c r="M135" s="58">
        <f t="shared" ref="M135:M136" si="58">K135/I135*100</f>
        <v>20.802</v>
      </c>
    </row>
    <row r="136" spans="1:15" x14ac:dyDescent="0.25">
      <c r="A136" s="9">
        <v>3221</v>
      </c>
      <c r="B136" s="4" t="s">
        <v>139</v>
      </c>
      <c r="C136" s="30"/>
      <c r="D136" s="30"/>
      <c r="E136" s="30"/>
      <c r="F136" s="29"/>
      <c r="G136" s="177">
        <v>3500</v>
      </c>
      <c r="H136" s="178"/>
      <c r="I136" s="177">
        <v>3500</v>
      </c>
      <c r="J136" s="178"/>
      <c r="K136" s="177">
        <v>0</v>
      </c>
      <c r="L136" s="178"/>
      <c r="M136" s="34">
        <f t="shared" si="58"/>
        <v>0</v>
      </c>
    </row>
    <row r="137" spans="1:15" s="74" customFormat="1" x14ac:dyDescent="0.25">
      <c r="A137" s="10">
        <v>3235</v>
      </c>
      <c r="B137" s="4" t="s">
        <v>251</v>
      </c>
      <c r="C137" s="4"/>
      <c r="D137" s="4"/>
      <c r="E137" s="4"/>
      <c r="F137" s="11"/>
      <c r="G137" s="177">
        <v>3000</v>
      </c>
      <c r="H137" s="178"/>
      <c r="I137" s="177">
        <v>3000</v>
      </c>
      <c r="J137" s="178"/>
      <c r="K137" s="177">
        <v>500</v>
      </c>
      <c r="L137" s="178"/>
      <c r="M137" s="34">
        <f t="shared" si="47"/>
        <v>16.666666666666664</v>
      </c>
      <c r="N137"/>
      <c r="O137"/>
    </row>
    <row r="138" spans="1:15" s="74" customFormat="1" x14ac:dyDescent="0.25">
      <c r="A138" s="10">
        <v>3237</v>
      </c>
      <c r="B138" s="4" t="s">
        <v>250</v>
      </c>
      <c r="C138" s="4"/>
      <c r="D138" s="4"/>
      <c r="E138" s="4"/>
      <c r="F138" s="11"/>
      <c r="G138" s="177">
        <v>1000</v>
      </c>
      <c r="H138" s="178"/>
      <c r="I138" s="177">
        <v>1000</v>
      </c>
      <c r="J138" s="178"/>
      <c r="K138" s="177">
        <v>0</v>
      </c>
      <c r="L138" s="178"/>
      <c r="M138" s="34">
        <f t="shared" si="47"/>
        <v>0</v>
      </c>
      <c r="N138"/>
      <c r="O138"/>
    </row>
    <row r="139" spans="1:15" s="74" customFormat="1" x14ac:dyDescent="0.25">
      <c r="A139" s="9">
        <v>3239</v>
      </c>
      <c r="B139" s="30" t="s">
        <v>259</v>
      </c>
      <c r="C139" s="30"/>
      <c r="D139" s="30"/>
      <c r="E139" s="30"/>
      <c r="F139" s="29"/>
      <c r="G139" s="177">
        <v>2000</v>
      </c>
      <c r="H139" s="178"/>
      <c r="I139" s="177">
        <v>4000</v>
      </c>
      <c r="J139" s="178"/>
      <c r="K139" s="177">
        <v>2850</v>
      </c>
      <c r="L139" s="178"/>
      <c r="M139" s="61">
        <f t="shared" si="47"/>
        <v>71.25</v>
      </c>
    </row>
    <row r="140" spans="1:15" s="74" customFormat="1" x14ac:dyDescent="0.25">
      <c r="A140" s="9">
        <v>3293</v>
      </c>
      <c r="B140" s="342" t="s">
        <v>70</v>
      </c>
      <c r="C140" s="342"/>
      <c r="D140" s="342"/>
      <c r="E140" s="342"/>
      <c r="F140" s="343"/>
      <c r="G140" s="177">
        <v>4764.2700000000004</v>
      </c>
      <c r="H140" s="178"/>
      <c r="I140" s="177">
        <v>4764.2700000000004</v>
      </c>
      <c r="J140" s="178"/>
      <c r="K140" s="177">
        <v>2485.5500000000002</v>
      </c>
      <c r="L140" s="178"/>
      <c r="M140" s="61">
        <f>K140/I140*100</f>
        <v>52.170636844679251</v>
      </c>
    </row>
    <row r="141" spans="1:15" s="74" customFormat="1" x14ac:dyDescent="0.25">
      <c r="A141" s="9">
        <v>3296</v>
      </c>
      <c r="B141" s="30" t="s">
        <v>73</v>
      </c>
      <c r="C141" s="30"/>
      <c r="D141" s="30"/>
      <c r="E141" s="30"/>
      <c r="F141" s="29"/>
      <c r="G141" s="177">
        <v>17.32</v>
      </c>
      <c r="H141" s="178"/>
      <c r="I141" s="177">
        <v>17.32</v>
      </c>
      <c r="J141" s="178"/>
      <c r="K141" s="177">
        <v>375.66</v>
      </c>
      <c r="L141" s="178"/>
      <c r="M141" s="61">
        <f>K141/I141*100</f>
        <v>2168.9376443418018</v>
      </c>
    </row>
    <row r="142" spans="1:15" s="74" customFormat="1" x14ac:dyDescent="0.25">
      <c r="A142" s="9">
        <v>3299</v>
      </c>
      <c r="B142" s="30" t="s">
        <v>67</v>
      </c>
      <c r="C142" s="30"/>
      <c r="D142" s="30"/>
      <c r="E142" s="30"/>
      <c r="F142" s="29"/>
      <c r="G142" s="177">
        <v>3500</v>
      </c>
      <c r="H142" s="178"/>
      <c r="I142" s="177">
        <v>3500</v>
      </c>
      <c r="J142" s="178"/>
      <c r="K142" s="177">
        <v>4889.34</v>
      </c>
      <c r="L142" s="178"/>
      <c r="M142" s="61">
        <f>K142/I142*100</f>
        <v>139.69542857142858</v>
      </c>
    </row>
    <row r="143" spans="1:15" s="74" customFormat="1" x14ac:dyDescent="0.25">
      <c r="A143" s="27">
        <v>42</v>
      </c>
      <c r="B143" s="28" t="s">
        <v>76</v>
      </c>
      <c r="C143" s="28"/>
      <c r="D143" s="28"/>
      <c r="E143" s="28"/>
      <c r="F143" s="31"/>
      <c r="G143" s="398">
        <f>SUM(G144:H144)</f>
        <v>500</v>
      </c>
      <c r="H143" s="395"/>
      <c r="I143" s="398">
        <f>SUM(I144:J144)</f>
        <v>500</v>
      </c>
      <c r="J143" s="395"/>
      <c r="K143" s="398">
        <f>SUM(K144:L144)</f>
        <v>0</v>
      </c>
      <c r="L143" s="395"/>
      <c r="M143" s="62">
        <f>K143/I143*100</f>
        <v>0</v>
      </c>
    </row>
    <row r="144" spans="1:15" s="74" customFormat="1" x14ac:dyDescent="0.25">
      <c r="A144" s="10">
        <v>4241</v>
      </c>
      <c r="B144" s="3" t="s">
        <v>80</v>
      </c>
      <c r="C144" s="4"/>
      <c r="D144" s="4"/>
      <c r="E144" s="4"/>
      <c r="F144" s="11"/>
      <c r="G144" s="177">
        <v>500</v>
      </c>
      <c r="H144" s="178"/>
      <c r="I144" s="177">
        <v>500</v>
      </c>
      <c r="J144" s="178"/>
      <c r="K144" s="177">
        <v>0</v>
      </c>
      <c r="L144" s="178"/>
      <c r="M144" s="34">
        <f t="shared" si="47"/>
        <v>0</v>
      </c>
    </row>
    <row r="145" spans="1:13" s="74" customFormat="1" x14ac:dyDescent="0.25">
      <c r="A145" s="452" t="s">
        <v>256</v>
      </c>
      <c r="B145" s="453"/>
      <c r="C145" s="453"/>
      <c r="D145" s="453"/>
      <c r="E145" s="453"/>
      <c r="F145" s="454"/>
      <c r="G145" s="438">
        <f t="shared" ref="G145" si="59">G146</f>
        <v>7000</v>
      </c>
      <c r="H145" s="439"/>
      <c r="I145" s="438">
        <f>I146</f>
        <v>7000</v>
      </c>
      <c r="J145" s="439"/>
      <c r="K145" s="438">
        <f t="shared" ref="K145" si="60">K146</f>
        <v>5840</v>
      </c>
      <c r="L145" s="439"/>
      <c r="M145" s="140">
        <f>K145/I145*100</f>
        <v>83.428571428571431</v>
      </c>
    </row>
    <row r="146" spans="1:13" s="74" customFormat="1" x14ac:dyDescent="0.25">
      <c r="A146" s="27">
        <v>32</v>
      </c>
      <c r="B146" s="28" t="s">
        <v>48</v>
      </c>
      <c r="C146" s="28"/>
      <c r="D146" s="28"/>
      <c r="E146" s="28"/>
      <c r="F146" s="31"/>
      <c r="G146" s="426">
        <f>SUM(G147:H149)</f>
        <v>7000</v>
      </c>
      <c r="H146" s="427"/>
      <c r="I146" s="426">
        <f t="shared" ref="I146" si="61">SUM(I147:J149)</f>
        <v>7000</v>
      </c>
      <c r="J146" s="427"/>
      <c r="K146" s="426">
        <f t="shared" ref="K146" si="62">SUM(K147:L149)</f>
        <v>5840</v>
      </c>
      <c r="L146" s="427"/>
      <c r="M146" s="162">
        <f t="shared" ref="M146:M150" si="63">K146/I146*100</f>
        <v>83.428571428571431</v>
      </c>
    </row>
    <row r="147" spans="1:13" s="74" customFormat="1" x14ac:dyDescent="0.25">
      <c r="A147" s="10">
        <v>3211</v>
      </c>
      <c r="B147" s="3" t="s">
        <v>257</v>
      </c>
      <c r="C147" s="4"/>
      <c r="D147" s="4"/>
      <c r="E147" s="4"/>
      <c r="F147" s="11"/>
      <c r="G147" s="177">
        <v>5000</v>
      </c>
      <c r="H147" s="178"/>
      <c r="I147" s="177">
        <v>5000</v>
      </c>
      <c r="J147" s="178"/>
      <c r="K147" s="177">
        <v>5340</v>
      </c>
      <c r="L147" s="178"/>
      <c r="M147" s="162">
        <f t="shared" si="63"/>
        <v>106.80000000000001</v>
      </c>
    </row>
    <row r="148" spans="1:13" s="74" customFormat="1" x14ac:dyDescent="0.25">
      <c r="A148" s="21">
        <v>3235</v>
      </c>
      <c r="B148" s="3" t="s">
        <v>62</v>
      </c>
      <c r="C148" s="4"/>
      <c r="D148" s="4"/>
      <c r="E148" s="4"/>
      <c r="F148" s="11"/>
      <c r="G148" s="177">
        <v>0</v>
      </c>
      <c r="H148" s="178"/>
      <c r="I148" s="177">
        <v>0</v>
      </c>
      <c r="J148" s="178"/>
      <c r="K148" s="177">
        <v>500</v>
      </c>
      <c r="L148" s="178"/>
      <c r="M148" s="162" t="e">
        <f>K148/I148*100</f>
        <v>#DIV/0!</v>
      </c>
    </row>
    <row r="149" spans="1:13" s="74" customFormat="1" x14ac:dyDescent="0.25">
      <c r="A149" s="21">
        <v>3299</v>
      </c>
      <c r="B149" s="4" t="s">
        <v>67</v>
      </c>
      <c r="C149" s="4"/>
      <c r="D149" s="4"/>
      <c r="E149" s="4"/>
      <c r="F149" s="11"/>
      <c r="G149" s="177">
        <v>2000</v>
      </c>
      <c r="H149" s="178"/>
      <c r="I149" s="177">
        <v>2000</v>
      </c>
      <c r="J149" s="178"/>
      <c r="K149" s="177">
        <v>0</v>
      </c>
      <c r="L149" s="178"/>
      <c r="M149" s="162">
        <f t="shared" si="63"/>
        <v>0</v>
      </c>
    </row>
    <row r="150" spans="1:13" s="74" customFormat="1" x14ac:dyDescent="0.25">
      <c r="A150" s="452" t="s">
        <v>258</v>
      </c>
      <c r="B150" s="453"/>
      <c r="C150" s="453"/>
      <c r="D150" s="453"/>
      <c r="E150" s="453"/>
      <c r="F150" s="454"/>
      <c r="G150" s="438">
        <f>G151</f>
        <v>2500</v>
      </c>
      <c r="H150" s="439"/>
      <c r="I150" s="438">
        <f t="shared" ref="I150" si="64">I151</f>
        <v>2500</v>
      </c>
      <c r="J150" s="439"/>
      <c r="K150" s="438">
        <f t="shared" ref="K150" si="65">K151</f>
        <v>0</v>
      </c>
      <c r="L150" s="439"/>
      <c r="M150" s="145">
        <f t="shared" si="63"/>
        <v>0</v>
      </c>
    </row>
    <row r="151" spans="1:13" s="74" customFormat="1" x14ac:dyDescent="0.25">
      <c r="A151" s="27">
        <v>32</v>
      </c>
      <c r="B151" s="28" t="s">
        <v>48</v>
      </c>
      <c r="C151" s="28"/>
      <c r="D151" s="28"/>
      <c r="E151" s="28"/>
      <c r="F151" s="31"/>
      <c r="G151" s="426">
        <f>SUM(G152:H152)</f>
        <v>2500</v>
      </c>
      <c r="H151" s="427"/>
      <c r="I151" s="426">
        <f t="shared" ref="I151" si="66">I152</f>
        <v>2500</v>
      </c>
      <c r="J151" s="427"/>
      <c r="K151" s="426">
        <f t="shared" ref="K151" si="67">K152</f>
        <v>0</v>
      </c>
      <c r="L151" s="427"/>
      <c r="M151" s="84">
        <f>K151/I151*100</f>
        <v>0</v>
      </c>
    </row>
    <row r="152" spans="1:13" s="74" customFormat="1" x14ac:dyDescent="0.25">
      <c r="A152" s="10">
        <v>3299</v>
      </c>
      <c r="B152" s="3" t="s">
        <v>67</v>
      </c>
      <c r="C152" s="4"/>
      <c r="D152" s="4"/>
      <c r="E152" s="4"/>
      <c r="F152" s="11"/>
      <c r="G152" s="177">
        <v>2500</v>
      </c>
      <c r="H152" s="178"/>
      <c r="I152" s="177">
        <v>2500</v>
      </c>
      <c r="J152" s="178"/>
      <c r="K152" s="177">
        <v>0</v>
      </c>
      <c r="L152" s="178"/>
      <c r="M152" s="34">
        <f t="shared" ref="M152" si="68">K152/I152*100</f>
        <v>0</v>
      </c>
    </row>
    <row r="153" spans="1:13" x14ac:dyDescent="0.25">
      <c r="A153" s="452" t="s">
        <v>107</v>
      </c>
      <c r="B153" s="453"/>
      <c r="C153" s="453"/>
      <c r="D153" s="453"/>
      <c r="E153" s="453"/>
      <c r="F153" s="454"/>
      <c r="G153" s="436">
        <f>G155</f>
        <v>0</v>
      </c>
      <c r="H153" s="437"/>
      <c r="I153" s="436">
        <f>I155</f>
        <v>4847.12</v>
      </c>
      <c r="J153" s="437"/>
      <c r="K153" s="436">
        <f t="shared" ref="K153" si="69">K155</f>
        <v>4845.37</v>
      </c>
      <c r="L153" s="437"/>
      <c r="M153" s="442">
        <f>K153/I153*100</f>
        <v>99.96389608674842</v>
      </c>
    </row>
    <row r="154" spans="1:13" x14ac:dyDescent="0.25">
      <c r="A154" s="455" t="s">
        <v>99</v>
      </c>
      <c r="B154" s="456"/>
      <c r="C154" s="456"/>
      <c r="D154" s="456"/>
      <c r="E154" s="456"/>
      <c r="F154" s="457"/>
      <c r="G154" s="438"/>
      <c r="H154" s="439"/>
      <c r="I154" s="438"/>
      <c r="J154" s="439"/>
      <c r="K154" s="438"/>
      <c r="L154" s="439"/>
      <c r="M154" s="443" t="e">
        <f t="shared" ref="M154:M160" si="70">K154/I154*100</f>
        <v>#DIV/0!</v>
      </c>
    </row>
    <row r="155" spans="1:13" x14ac:dyDescent="0.25">
      <c r="A155" s="27">
        <v>32</v>
      </c>
      <c r="B155" s="28" t="s">
        <v>48</v>
      </c>
      <c r="C155" s="28"/>
      <c r="D155" s="28"/>
      <c r="E155" s="28"/>
      <c r="F155" s="31"/>
      <c r="G155" s="426">
        <f>SUM(G156:H160)</f>
        <v>0</v>
      </c>
      <c r="H155" s="427"/>
      <c r="I155" s="426">
        <f t="shared" ref="I155" si="71">SUM(I156:J160)</f>
        <v>4847.12</v>
      </c>
      <c r="J155" s="427"/>
      <c r="K155" s="426">
        <f t="shared" ref="K155" si="72">SUM(K156:L160)</f>
        <v>4845.37</v>
      </c>
      <c r="L155" s="427"/>
      <c r="M155" s="84">
        <f t="shared" si="70"/>
        <v>99.96389608674842</v>
      </c>
    </row>
    <row r="156" spans="1:13" s="74" customFormat="1" x14ac:dyDescent="0.25">
      <c r="A156" s="10">
        <v>3291</v>
      </c>
      <c r="B156" s="450" t="s">
        <v>263</v>
      </c>
      <c r="C156" s="450"/>
      <c r="D156" s="450"/>
      <c r="E156" s="450"/>
      <c r="F156" s="451"/>
      <c r="G156" s="177">
        <v>0</v>
      </c>
      <c r="H156" s="178"/>
      <c r="I156" s="177">
        <v>1472.99</v>
      </c>
      <c r="J156" s="178"/>
      <c r="K156" s="177">
        <v>1472.99</v>
      </c>
      <c r="L156" s="178"/>
      <c r="M156" s="34">
        <f t="shared" si="70"/>
        <v>100</v>
      </c>
    </row>
    <row r="157" spans="1:13" s="74" customFormat="1" x14ac:dyDescent="0.25">
      <c r="A157" s="9">
        <v>32999</v>
      </c>
      <c r="B157" s="450" t="s">
        <v>67</v>
      </c>
      <c r="C157" s="450"/>
      <c r="D157" s="450"/>
      <c r="E157" s="450"/>
      <c r="F157" s="451"/>
      <c r="G157" s="177">
        <v>0</v>
      </c>
      <c r="H157" s="178"/>
      <c r="I157" s="177">
        <v>79.13</v>
      </c>
      <c r="J157" s="178"/>
      <c r="K157" s="177">
        <v>79.13</v>
      </c>
      <c r="L157" s="178"/>
      <c r="M157" s="84">
        <f t="shared" si="70"/>
        <v>100</v>
      </c>
    </row>
    <row r="158" spans="1:13" s="74" customFormat="1" x14ac:dyDescent="0.25">
      <c r="A158" s="9">
        <v>3221</v>
      </c>
      <c r="B158" s="450" t="s">
        <v>139</v>
      </c>
      <c r="C158" s="450"/>
      <c r="D158" s="450"/>
      <c r="E158" s="450"/>
      <c r="F158" s="451"/>
      <c r="G158" s="177"/>
      <c r="H158" s="178"/>
      <c r="I158" s="177">
        <v>1000</v>
      </c>
      <c r="J158" s="178"/>
      <c r="K158" s="177">
        <v>998.25</v>
      </c>
      <c r="L158" s="178"/>
      <c r="M158" s="34">
        <f t="shared" si="70"/>
        <v>99.825000000000003</v>
      </c>
    </row>
    <row r="159" spans="1:13" s="74" customFormat="1" x14ac:dyDescent="0.25">
      <c r="A159" s="9">
        <v>3293</v>
      </c>
      <c r="B159" s="450" t="s">
        <v>70</v>
      </c>
      <c r="C159" s="450"/>
      <c r="D159" s="450"/>
      <c r="E159" s="450"/>
      <c r="F159" s="451"/>
      <c r="G159" s="177"/>
      <c r="H159" s="178"/>
      <c r="I159" s="177">
        <v>790</v>
      </c>
      <c r="J159" s="178"/>
      <c r="K159" s="177">
        <v>790</v>
      </c>
      <c r="L159" s="178"/>
      <c r="M159" s="84">
        <f t="shared" si="70"/>
        <v>100</v>
      </c>
    </row>
    <row r="160" spans="1:13" s="74" customFormat="1" x14ac:dyDescent="0.25">
      <c r="A160" s="9">
        <v>3235</v>
      </c>
      <c r="B160" s="450" t="s">
        <v>62</v>
      </c>
      <c r="C160" s="450"/>
      <c r="D160" s="450"/>
      <c r="E160" s="450"/>
      <c r="F160" s="451"/>
      <c r="G160" s="177"/>
      <c r="H160" s="178"/>
      <c r="I160" s="177">
        <v>1505</v>
      </c>
      <c r="J160" s="178"/>
      <c r="K160" s="177">
        <v>1505</v>
      </c>
      <c r="L160" s="178"/>
      <c r="M160" s="34">
        <f t="shared" si="70"/>
        <v>100</v>
      </c>
    </row>
    <row r="161" spans="1:15" s="74" customFormat="1" x14ac:dyDescent="0.25">
      <c r="A161" s="452" t="s">
        <v>140</v>
      </c>
      <c r="B161" s="453"/>
      <c r="C161" s="453"/>
      <c r="D161" s="453"/>
      <c r="E161" s="453"/>
      <c r="F161" s="454"/>
      <c r="G161" s="438">
        <f t="shared" ref="G161" si="73">G163</f>
        <v>0</v>
      </c>
      <c r="H161" s="439"/>
      <c r="I161" s="438">
        <f t="shared" ref="I161" si="74">I163</f>
        <v>730.02</v>
      </c>
      <c r="J161" s="439"/>
      <c r="K161" s="438">
        <f t="shared" ref="K161" si="75">K163</f>
        <v>730.02</v>
      </c>
      <c r="L161" s="439"/>
      <c r="M161" s="442">
        <f t="shared" ref="M161:M162" si="76">K161/I161*100</f>
        <v>100</v>
      </c>
      <c r="N161"/>
      <c r="O161"/>
    </row>
    <row r="162" spans="1:15" s="74" customFormat="1" x14ac:dyDescent="0.25">
      <c r="A162" s="455" t="s">
        <v>141</v>
      </c>
      <c r="B162" s="456"/>
      <c r="C162" s="456"/>
      <c r="D162" s="456"/>
      <c r="E162" s="456"/>
      <c r="F162" s="457"/>
      <c r="G162" s="440"/>
      <c r="H162" s="441"/>
      <c r="I162" s="440"/>
      <c r="J162" s="441"/>
      <c r="K162" s="440"/>
      <c r="L162" s="441"/>
      <c r="M162" s="443" t="e">
        <f t="shared" si="76"/>
        <v>#DIV/0!</v>
      </c>
      <c r="N162"/>
      <c r="O162"/>
    </row>
    <row r="163" spans="1:15" s="74" customFormat="1" x14ac:dyDescent="0.25">
      <c r="A163" s="27">
        <v>32</v>
      </c>
      <c r="B163" s="28" t="s">
        <v>48</v>
      </c>
      <c r="C163" s="28"/>
      <c r="D163" s="28"/>
      <c r="E163" s="28"/>
      <c r="F163" s="31"/>
      <c r="G163" s="426">
        <f t="shared" ref="G163" si="77">G164</f>
        <v>0</v>
      </c>
      <c r="H163" s="427"/>
      <c r="I163" s="426">
        <f t="shared" ref="I163" si="78">I164</f>
        <v>730.02</v>
      </c>
      <c r="J163" s="427"/>
      <c r="K163" s="426">
        <f t="shared" ref="K163" si="79">K164</f>
        <v>730.02</v>
      </c>
      <c r="L163" s="427"/>
      <c r="M163" s="84">
        <f>K163/I163*100</f>
        <v>100</v>
      </c>
      <c r="N163"/>
      <c r="O163"/>
    </row>
    <row r="164" spans="1:15" s="74" customFormat="1" x14ac:dyDescent="0.25">
      <c r="A164" s="21">
        <v>3237</v>
      </c>
      <c r="B164" s="3" t="s">
        <v>142</v>
      </c>
      <c r="C164" s="3"/>
      <c r="D164" s="3"/>
      <c r="E164" s="3"/>
      <c r="F164" s="22"/>
      <c r="G164" s="177">
        <v>0</v>
      </c>
      <c r="H164" s="178"/>
      <c r="I164" s="177">
        <v>730.02</v>
      </c>
      <c r="J164" s="178"/>
      <c r="K164" s="177">
        <v>730.02</v>
      </c>
      <c r="L164" s="178"/>
      <c r="M164" s="61">
        <f>K164/I164*100</f>
        <v>100</v>
      </c>
      <c r="N164"/>
      <c r="O164"/>
    </row>
    <row r="165" spans="1:15" x14ac:dyDescent="0.25">
      <c r="A165" s="452" t="s">
        <v>143</v>
      </c>
      <c r="B165" s="453"/>
      <c r="C165" s="453"/>
      <c r="D165" s="453"/>
      <c r="E165" s="453"/>
      <c r="F165" s="454"/>
      <c r="G165" s="436">
        <f t="shared" ref="G165" si="80">G167</f>
        <v>0</v>
      </c>
      <c r="H165" s="437"/>
      <c r="I165" s="436">
        <f t="shared" ref="I165" si="81">I167</f>
        <v>1566</v>
      </c>
      <c r="J165" s="437"/>
      <c r="K165" s="436">
        <f t="shared" ref="K165" si="82">K167</f>
        <v>1566</v>
      </c>
      <c r="L165" s="437"/>
      <c r="M165" s="442">
        <f t="shared" ref="M165:M166" si="83">K165/I165*100</f>
        <v>100</v>
      </c>
    </row>
    <row r="166" spans="1:15" x14ac:dyDescent="0.25">
      <c r="A166" s="455" t="s">
        <v>144</v>
      </c>
      <c r="B166" s="456"/>
      <c r="C166" s="456"/>
      <c r="D166" s="456"/>
      <c r="E166" s="456"/>
      <c r="F166" s="457"/>
      <c r="G166" s="438"/>
      <c r="H166" s="439"/>
      <c r="I166" s="438"/>
      <c r="J166" s="439"/>
      <c r="K166" s="438"/>
      <c r="L166" s="439"/>
      <c r="M166" s="443" t="e">
        <f t="shared" si="83"/>
        <v>#DIV/0!</v>
      </c>
    </row>
    <row r="167" spans="1:15" x14ac:dyDescent="0.25">
      <c r="A167" s="27">
        <v>38</v>
      </c>
      <c r="B167" s="28" t="s">
        <v>132</v>
      </c>
      <c r="C167" s="28"/>
      <c r="D167" s="28"/>
      <c r="E167" s="28"/>
      <c r="F167" s="31"/>
      <c r="G167" s="426">
        <f t="shared" ref="G167" si="84">G168</f>
        <v>0</v>
      </c>
      <c r="H167" s="427"/>
      <c r="I167" s="426">
        <f t="shared" ref="I167" si="85">I168</f>
        <v>1566</v>
      </c>
      <c r="J167" s="427"/>
      <c r="K167" s="426">
        <f t="shared" ref="K167" si="86">K168</f>
        <v>1566</v>
      </c>
      <c r="L167" s="427"/>
      <c r="M167" s="62">
        <f>K167/I167*100</f>
        <v>100</v>
      </c>
    </row>
    <row r="168" spans="1:15" x14ac:dyDescent="0.25">
      <c r="A168" s="21">
        <v>3812</v>
      </c>
      <c r="B168" s="3" t="s">
        <v>173</v>
      </c>
      <c r="C168" s="3"/>
      <c r="D168" s="3"/>
      <c r="E168" s="3"/>
      <c r="F168" s="22"/>
      <c r="G168" s="434">
        <v>0</v>
      </c>
      <c r="H168" s="435"/>
      <c r="I168" s="434">
        <v>1566</v>
      </c>
      <c r="J168" s="435"/>
      <c r="K168" s="434">
        <v>1566</v>
      </c>
      <c r="L168" s="435"/>
      <c r="M168" s="58">
        <f>K168/I168*100</f>
        <v>100</v>
      </c>
    </row>
    <row r="169" spans="1:15" x14ac:dyDescent="0.25">
      <c r="A169" s="475" t="s">
        <v>109</v>
      </c>
      <c r="B169" s="476"/>
      <c r="C169" s="476"/>
      <c r="D169" s="476"/>
      <c r="E169" s="476"/>
      <c r="F169" s="477"/>
      <c r="G169" s="464">
        <f>G170+G186</f>
        <v>0</v>
      </c>
      <c r="H169" s="465"/>
      <c r="I169" s="464">
        <f>I170+I186</f>
        <v>79844.319999999992</v>
      </c>
      <c r="J169" s="465"/>
      <c r="K169" s="464">
        <f>K170+K186</f>
        <v>33652.520000000004</v>
      </c>
      <c r="L169" s="465"/>
      <c r="M169" s="37">
        <f t="shared" ref="M169" si="87">K169/I169*100</f>
        <v>42.147669364583493</v>
      </c>
    </row>
    <row r="170" spans="1:15" x14ac:dyDescent="0.25">
      <c r="A170" s="495" t="s">
        <v>110</v>
      </c>
      <c r="B170" s="496"/>
      <c r="C170" s="496"/>
      <c r="D170" s="496"/>
      <c r="E170" s="496"/>
      <c r="F170" s="497"/>
      <c r="G170" s="440">
        <f>G174+G184</f>
        <v>0</v>
      </c>
      <c r="H170" s="441"/>
      <c r="I170" s="440">
        <f>I174+I184</f>
        <v>40460.319999999992</v>
      </c>
      <c r="J170" s="441"/>
      <c r="K170" s="440">
        <f>K174+K184</f>
        <v>26056.560000000001</v>
      </c>
      <c r="L170" s="441"/>
      <c r="M170" s="443">
        <f>K170/I170*100</f>
        <v>64.400281559809727</v>
      </c>
    </row>
    <row r="171" spans="1:15" x14ac:dyDescent="0.25">
      <c r="A171" s="483" t="s">
        <v>212</v>
      </c>
      <c r="B171" s="484"/>
      <c r="C171" s="484"/>
      <c r="D171" s="484"/>
      <c r="E171" s="484"/>
      <c r="F171" s="485"/>
      <c r="G171" s="440"/>
      <c r="H171" s="441"/>
      <c r="I171" s="440"/>
      <c r="J171" s="441"/>
      <c r="K171" s="440"/>
      <c r="L171" s="441"/>
      <c r="M171" s="443"/>
    </row>
    <row r="172" spans="1:15" x14ac:dyDescent="0.25">
      <c r="A172" s="489" t="s">
        <v>213</v>
      </c>
      <c r="B172" s="490"/>
      <c r="C172" s="490"/>
      <c r="D172" s="490"/>
      <c r="E172" s="490"/>
      <c r="F172" s="491"/>
      <c r="G172" s="440"/>
      <c r="H172" s="441"/>
      <c r="I172" s="440"/>
      <c r="J172" s="441"/>
      <c r="K172" s="440"/>
      <c r="L172" s="441"/>
      <c r="M172" s="443"/>
    </row>
    <row r="173" spans="1:15" x14ac:dyDescent="0.25">
      <c r="A173" s="40" t="s">
        <v>214</v>
      </c>
      <c r="B173" s="41"/>
      <c r="C173" s="41"/>
      <c r="D173" s="41"/>
      <c r="E173" s="41"/>
      <c r="F173" s="42"/>
      <c r="G173" s="440"/>
      <c r="H173" s="441"/>
      <c r="I173" s="440"/>
      <c r="J173" s="441"/>
      <c r="K173" s="440"/>
      <c r="L173" s="441"/>
      <c r="M173" s="443"/>
    </row>
    <row r="174" spans="1:15" x14ac:dyDescent="0.25">
      <c r="A174" s="27">
        <v>31</v>
      </c>
      <c r="B174" s="28" t="s">
        <v>42</v>
      </c>
      <c r="C174" s="28"/>
      <c r="D174" s="28"/>
      <c r="E174" s="28"/>
      <c r="F174" s="31"/>
      <c r="G174" s="426">
        <f>SUM(G175:H182)</f>
        <v>0</v>
      </c>
      <c r="H174" s="427"/>
      <c r="I174" s="426">
        <f>SUM(I175:J183)</f>
        <v>37704.909999999996</v>
      </c>
      <c r="J174" s="427"/>
      <c r="K174" s="426">
        <f>SUM(K175:L183)</f>
        <v>23385.5</v>
      </c>
      <c r="L174" s="427"/>
      <c r="M174" s="61">
        <f>K174/I174*100</f>
        <v>62.02242625695169</v>
      </c>
    </row>
    <row r="175" spans="1:15" ht="15" customHeight="1" x14ac:dyDescent="0.25">
      <c r="A175" s="9">
        <v>3111</v>
      </c>
      <c r="B175" s="30" t="s">
        <v>44</v>
      </c>
      <c r="C175" s="30"/>
      <c r="D175" s="30"/>
      <c r="E175" s="30"/>
      <c r="F175" s="29" t="s">
        <v>126</v>
      </c>
      <c r="G175" s="175"/>
      <c r="H175" s="176"/>
      <c r="I175" s="175">
        <v>8148.4</v>
      </c>
      <c r="J175" s="176"/>
      <c r="K175" s="175">
        <v>3802.69</v>
      </c>
      <c r="L175" s="176"/>
      <c r="M175" s="58">
        <f>K175/I175*100</f>
        <v>46.667934809287715</v>
      </c>
    </row>
    <row r="176" spans="1:15" x14ac:dyDescent="0.25">
      <c r="A176" s="9">
        <v>3111</v>
      </c>
      <c r="B176" s="30" t="s">
        <v>44</v>
      </c>
      <c r="C176" s="30"/>
      <c r="D176" s="30"/>
      <c r="E176" s="30"/>
      <c r="F176" s="29" t="s">
        <v>128</v>
      </c>
      <c r="G176" s="175"/>
      <c r="H176" s="176"/>
      <c r="I176" s="175">
        <v>2092.29</v>
      </c>
      <c r="J176" s="176"/>
      <c r="K176" s="175">
        <v>2092.29</v>
      </c>
      <c r="L176" s="176"/>
      <c r="M176" s="34">
        <f t="shared" ref="M176" si="88">K176/I176*100</f>
        <v>100</v>
      </c>
    </row>
    <row r="177" spans="1:13" x14ac:dyDescent="0.25">
      <c r="A177" s="10">
        <v>3111</v>
      </c>
      <c r="B177" s="4" t="s">
        <v>44</v>
      </c>
      <c r="C177" s="4"/>
      <c r="D177" s="4"/>
      <c r="E177" s="4"/>
      <c r="F177" s="11" t="s">
        <v>127</v>
      </c>
      <c r="G177" s="175"/>
      <c r="H177" s="176"/>
      <c r="I177" s="175">
        <v>3802.69</v>
      </c>
      <c r="J177" s="176"/>
      <c r="K177" s="175">
        <v>0</v>
      </c>
      <c r="L177" s="176"/>
      <c r="M177" s="34">
        <f t="shared" ref="M177" si="89">K177/I177*100</f>
        <v>0</v>
      </c>
    </row>
    <row r="178" spans="1:13" x14ac:dyDescent="0.25">
      <c r="A178" s="10">
        <v>3121</v>
      </c>
      <c r="B178" s="4" t="s">
        <v>45</v>
      </c>
      <c r="C178" s="4"/>
      <c r="D178" s="4"/>
      <c r="E178" s="4"/>
      <c r="F178" s="11" t="s">
        <v>126</v>
      </c>
      <c r="G178" s="177"/>
      <c r="H178" s="178"/>
      <c r="I178" s="177">
        <v>3718.5</v>
      </c>
      <c r="J178" s="178"/>
      <c r="K178" s="177">
        <v>3718.5</v>
      </c>
      <c r="L178" s="178"/>
      <c r="M178" s="34">
        <f t="shared" ref="M178" si="90">K178/I178*100</f>
        <v>100</v>
      </c>
    </row>
    <row r="179" spans="1:13" x14ac:dyDescent="0.25">
      <c r="A179" s="10">
        <v>3132</v>
      </c>
      <c r="B179" s="4" t="s">
        <v>133</v>
      </c>
      <c r="C179" s="4"/>
      <c r="D179" s="4"/>
      <c r="E179" s="4"/>
      <c r="F179" s="11" t="s">
        <v>127</v>
      </c>
      <c r="G179" s="177"/>
      <c r="H179" s="178"/>
      <c r="I179" s="177">
        <f>2110.5+627.45</f>
        <v>2737.95</v>
      </c>
      <c r="J179" s="178"/>
      <c r="K179" s="177">
        <v>0</v>
      </c>
      <c r="L179" s="178"/>
      <c r="M179" s="34">
        <f t="shared" ref="M179:M181" si="91">K179/I179*100</f>
        <v>0</v>
      </c>
    </row>
    <row r="180" spans="1:13" x14ac:dyDescent="0.25">
      <c r="A180" s="10">
        <v>3132</v>
      </c>
      <c r="B180" s="4" t="s">
        <v>46</v>
      </c>
      <c r="C180" s="4"/>
      <c r="D180" s="4"/>
      <c r="E180" s="4"/>
      <c r="F180" s="11" t="s">
        <v>128</v>
      </c>
      <c r="G180" s="177"/>
      <c r="H180" s="178"/>
      <c r="I180" s="177">
        <f>2311.5+726.62+994.96</f>
        <v>4033.08</v>
      </c>
      <c r="J180" s="178"/>
      <c r="K180" s="177">
        <f>2311.5+613.56</f>
        <v>2925.06</v>
      </c>
      <c r="L180" s="178"/>
      <c r="M180" s="34">
        <f t="shared" si="91"/>
        <v>72.526704156624717</v>
      </c>
    </row>
    <row r="181" spans="1:13" s="74" customFormat="1" x14ac:dyDescent="0.25">
      <c r="A181" s="10">
        <v>3132</v>
      </c>
      <c r="B181" s="4" t="s">
        <v>46</v>
      </c>
      <c r="C181" s="4"/>
      <c r="D181" s="4"/>
      <c r="E181" s="4"/>
      <c r="F181" s="11" t="s">
        <v>211</v>
      </c>
      <c r="G181" s="177"/>
      <c r="H181" s="178"/>
      <c r="I181" s="177">
        <f>8148.4+1344.49</f>
        <v>9492.89</v>
      </c>
      <c r="J181" s="178"/>
      <c r="K181" s="177">
        <f>8148.4+1344.49</f>
        <v>9492.89</v>
      </c>
      <c r="L181" s="178"/>
      <c r="M181" s="34">
        <f t="shared" si="91"/>
        <v>100</v>
      </c>
    </row>
    <row r="182" spans="1:13" x14ac:dyDescent="0.25">
      <c r="A182" s="10">
        <v>3132</v>
      </c>
      <c r="B182" s="4" t="s">
        <v>46</v>
      </c>
      <c r="C182" s="4"/>
      <c r="D182" s="4"/>
      <c r="E182" s="4"/>
      <c r="F182" s="11" t="s">
        <v>127</v>
      </c>
      <c r="G182" s="177"/>
      <c r="H182" s="178"/>
      <c r="I182" s="177">
        <v>1608</v>
      </c>
      <c r="J182" s="178"/>
      <c r="K182" s="177">
        <v>0</v>
      </c>
      <c r="L182" s="178"/>
      <c r="M182" s="34">
        <f t="shared" ref="M182:M183" si="92">K182/I182*100</f>
        <v>0</v>
      </c>
    </row>
    <row r="183" spans="1:13" s="74" customFormat="1" x14ac:dyDescent="0.25">
      <c r="A183" s="9">
        <v>3132</v>
      </c>
      <c r="B183" s="30" t="s">
        <v>46</v>
      </c>
      <c r="C183" s="30"/>
      <c r="D183" s="30"/>
      <c r="E183" s="30"/>
      <c r="F183" s="29" t="s">
        <v>264</v>
      </c>
      <c r="G183" s="143"/>
      <c r="H183" s="144"/>
      <c r="I183" s="177">
        <v>2071.11</v>
      </c>
      <c r="J183" s="178"/>
      <c r="K183" s="177">
        <v>1354.07</v>
      </c>
      <c r="L183" s="178"/>
      <c r="M183" s="34">
        <f t="shared" si="92"/>
        <v>65.378951383557606</v>
      </c>
    </row>
    <row r="184" spans="1:13" x14ac:dyDescent="0.25">
      <c r="A184" s="27">
        <v>32</v>
      </c>
      <c r="B184" s="28" t="s">
        <v>48</v>
      </c>
      <c r="C184" s="28"/>
      <c r="D184" s="28"/>
      <c r="E184" s="28"/>
      <c r="F184" s="31"/>
      <c r="G184" s="426">
        <f t="shared" ref="G184" si="93">G185</f>
        <v>0</v>
      </c>
      <c r="H184" s="427"/>
      <c r="I184" s="426">
        <f t="shared" ref="I184" si="94">I185</f>
        <v>2755.41</v>
      </c>
      <c r="J184" s="427"/>
      <c r="K184" s="426">
        <f t="shared" ref="K184" si="95">K185</f>
        <v>2671.06</v>
      </c>
      <c r="L184" s="427"/>
      <c r="M184" s="62">
        <f>K184/I184*100</f>
        <v>96.938749587175778</v>
      </c>
    </row>
    <row r="185" spans="1:13" x14ac:dyDescent="0.25">
      <c r="A185" s="21">
        <v>3212</v>
      </c>
      <c r="B185" s="24" t="s">
        <v>111</v>
      </c>
      <c r="C185" s="3"/>
      <c r="D185" s="3"/>
      <c r="E185" s="3"/>
      <c r="F185" s="22" t="s">
        <v>128</v>
      </c>
      <c r="G185" s="458"/>
      <c r="H185" s="459"/>
      <c r="I185" s="458">
        <f>1900+855.41</f>
        <v>2755.41</v>
      </c>
      <c r="J185" s="459"/>
      <c r="K185" s="458">
        <f>1900+771.06</f>
        <v>2671.06</v>
      </c>
      <c r="L185" s="459"/>
      <c r="M185" s="34">
        <f t="shared" ref="M185:M186" si="96">K185/I185*100</f>
        <v>96.938749587175778</v>
      </c>
    </row>
    <row r="186" spans="1:13" x14ac:dyDescent="0.25">
      <c r="A186" s="486" t="s">
        <v>265</v>
      </c>
      <c r="B186" s="487"/>
      <c r="C186" s="487"/>
      <c r="D186" s="487"/>
      <c r="E186" s="487"/>
      <c r="F186" s="488"/>
      <c r="G186" s="438">
        <f>G188</f>
        <v>0</v>
      </c>
      <c r="H186" s="439"/>
      <c r="I186" s="438">
        <f>I188</f>
        <v>39384</v>
      </c>
      <c r="J186" s="439"/>
      <c r="K186" s="438">
        <f t="shared" ref="K186" si="97">K188</f>
        <v>7595.96</v>
      </c>
      <c r="L186" s="439"/>
      <c r="M186" s="442">
        <f t="shared" si="96"/>
        <v>19.286918545602276</v>
      </c>
    </row>
    <row r="187" spans="1:13" x14ac:dyDescent="0.25">
      <c r="A187" s="483" t="s">
        <v>215</v>
      </c>
      <c r="B187" s="484"/>
      <c r="C187" s="484"/>
      <c r="D187" s="484"/>
      <c r="E187" s="484"/>
      <c r="F187" s="485"/>
      <c r="G187" s="440"/>
      <c r="H187" s="441"/>
      <c r="I187" s="440"/>
      <c r="J187" s="441"/>
      <c r="K187" s="440"/>
      <c r="L187" s="441"/>
      <c r="M187" s="443"/>
    </row>
    <row r="188" spans="1:13" x14ac:dyDescent="0.25">
      <c r="A188" s="27">
        <v>32</v>
      </c>
      <c r="B188" s="28" t="s">
        <v>48</v>
      </c>
      <c r="C188" s="28"/>
      <c r="D188" s="28"/>
      <c r="E188" s="28"/>
      <c r="F188" s="31"/>
      <c r="G188" s="426">
        <f>G191</f>
        <v>0</v>
      </c>
      <c r="H188" s="427"/>
      <c r="I188" s="426">
        <f>SUM(I189:J191)</f>
        <v>39384</v>
      </c>
      <c r="J188" s="427"/>
      <c r="K188" s="426">
        <f>SUM(K189:L191)</f>
        <v>7595.96</v>
      </c>
      <c r="L188" s="427"/>
      <c r="M188" s="62">
        <f>K188/I188*100</f>
        <v>19.286918545602276</v>
      </c>
    </row>
    <row r="189" spans="1:13" s="74" customFormat="1" x14ac:dyDescent="0.25">
      <c r="A189" s="158">
        <v>3211</v>
      </c>
      <c r="B189" s="159" t="s">
        <v>266</v>
      </c>
      <c r="C189" s="160"/>
      <c r="D189" s="160"/>
      <c r="E189" s="160"/>
      <c r="F189" s="11"/>
      <c r="G189" s="177"/>
      <c r="H189" s="178"/>
      <c r="I189" s="177">
        <v>10000</v>
      </c>
      <c r="J189" s="178"/>
      <c r="K189" s="177">
        <v>2109</v>
      </c>
      <c r="L189" s="178"/>
      <c r="M189" s="84">
        <f t="shared" ref="M189:M191" si="98">K189/I189*100</f>
        <v>21.09</v>
      </c>
    </row>
    <row r="190" spans="1:13" s="74" customFormat="1" ht="15.75" thickBot="1" x14ac:dyDescent="0.3">
      <c r="A190" s="158">
        <v>3299</v>
      </c>
      <c r="B190" s="155" t="s">
        <v>67</v>
      </c>
      <c r="C190" s="160"/>
      <c r="D190" s="160"/>
      <c r="E190" s="160"/>
      <c r="F190" s="11"/>
      <c r="G190" s="177"/>
      <c r="H190" s="178"/>
      <c r="I190" s="177">
        <v>19384</v>
      </c>
      <c r="J190" s="178"/>
      <c r="K190" s="177">
        <v>5486.96</v>
      </c>
      <c r="L190" s="178"/>
      <c r="M190" s="84">
        <f t="shared" si="98"/>
        <v>28.306644655385888</v>
      </c>
    </row>
    <row r="191" spans="1:13" ht="15.75" thickBot="1" x14ac:dyDescent="0.3">
      <c r="A191" s="154">
        <v>3721</v>
      </c>
      <c r="B191" s="155" t="s">
        <v>267</v>
      </c>
      <c r="C191" s="156"/>
      <c r="D191" s="156"/>
      <c r="E191" s="156"/>
      <c r="F191" s="157"/>
      <c r="G191" s="462"/>
      <c r="H191" s="463"/>
      <c r="I191" s="462">
        <v>10000</v>
      </c>
      <c r="J191" s="463"/>
      <c r="K191" s="462">
        <v>0</v>
      </c>
      <c r="L191" s="463"/>
      <c r="M191" s="84">
        <f t="shared" si="98"/>
        <v>0</v>
      </c>
    </row>
    <row r="192" spans="1:13" x14ac:dyDescent="0.25">
      <c r="F192" s="43"/>
    </row>
  </sheetData>
  <customSheetViews>
    <customSheetView guid="{005C429F-8448-44DF-83AD-8A930973E873}" topLeftCell="A22">
      <selection activeCell="G131" sqref="G131:H131"/>
      <rowBreaks count="1" manualBreakCount="1">
        <brk id="54" max="16383" man="1"/>
      </rowBreaks>
      <pageMargins left="0.7" right="0.7" top="0.75" bottom="0.75" header="0.3" footer="0.3"/>
      <pageSetup paperSize="9" scale="63" orientation="portrait" r:id="rId1"/>
    </customSheetView>
  </customSheetViews>
  <mergeCells count="588">
    <mergeCell ref="A150:F150"/>
    <mergeCell ref="G149:H149"/>
    <mergeCell ref="I149:J149"/>
    <mergeCell ref="K149:L149"/>
    <mergeCell ref="G150:H150"/>
    <mergeCell ref="I150:J150"/>
    <mergeCell ref="K150:L150"/>
    <mergeCell ref="G151:H151"/>
    <mergeCell ref="I151:J151"/>
    <mergeCell ref="K151:L151"/>
    <mergeCell ref="A133:F133"/>
    <mergeCell ref="A145:F145"/>
    <mergeCell ref="G145:H145"/>
    <mergeCell ref="I145:J145"/>
    <mergeCell ref="K145:L145"/>
    <mergeCell ref="G146:H146"/>
    <mergeCell ref="I146:J146"/>
    <mergeCell ref="K146:L146"/>
    <mergeCell ref="G147:H147"/>
    <mergeCell ref="I147:J147"/>
    <mergeCell ref="K147:L147"/>
    <mergeCell ref="G144:H144"/>
    <mergeCell ref="G136:H136"/>
    <mergeCell ref="B125:F125"/>
    <mergeCell ref="B126:F126"/>
    <mergeCell ref="G139:H139"/>
    <mergeCell ref="I139:J139"/>
    <mergeCell ref="K139:L139"/>
    <mergeCell ref="I138:J138"/>
    <mergeCell ref="K143:L143"/>
    <mergeCell ref="K138:L138"/>
    <mergeCell ref="I143:J143"/>
    <mergeCell ref="G143:H143"/>
    <mergeCell ref="G138:H138"/>
    <mergeCell ref="G140:H140"/>
    <mergeCell ref="I140:J140"/>
    <mergeCell ref="K140:L140"/>
    <mergeCell ref="G129:H129"/>
    <mergeCell ref="I137:J137"/>
    <mergeCell ref="G130:H130"/>
    <mergeCell ref="G132:H132"/>
    <mergeCell ref="B140:F140"/>
    <mergeCell ref="G141:H141"/>
    <mergeCell ref="I141:J141"/>
    <mergeCell ref="K141:L141"/>
    <mergeCell ref="G142:H142"/>
    <mergeCell ref="I142:J142"/>
    <mergeCell ref="B124:F124"/>
    <mergeCell ref="K117:L117"/>
    <mergeCell ref="G118:H118"/>
    <mergeCell ref="I118:J118"/>
    <mergeCell ref="K118:L118"/>
    <mergeCell ref="G119:H119"/>
    <mergeCell ref="I119:J119"/>
    <mergeCell ref="K119:L119"/>
    <mergeCell ref="B118:F118"/>
    <mergeCell ref="B119:F119"/>
    <mergeCell ref="I121:J121"/>
    <mergeCell ref="I122:J122"/>
    <mergeCell ref="G122:H122"/>
    <mergeCell ref="G123:H123"/>
    <mergeCell ref="I123:J123"/>
    <mergeCell ref="K123:L123"/>
    <mergeCell ref="G97:H97"/>
    <mergeCell ref="I97:J97"/>
    <mergeCell ref="K97:L97"/>
    <mergeCell ref="G114:H114"/>
    <mergeCell ref="B114:F114"/>
    <mergeCell ref="B113:F113"/>
    <mergeCell ref="B112:F112"/>
    <mergeCell ref="B111:F111"/>
    <mergeCell ref="G102:H102"/>
    <mergeCell ref="I102:J102"/>
    <mergeCell ref="K102:L102"/>
    <mergeCell ref="G103:H103"/>
    <mergeCell ref="I103:J103"/>
    <mergeCell ref="K103:L103"/>
    <mergeCell ref="G104:H104"/>
    <mergeCell ref="G100:H100"/>
    <mergeCell ref="G101:H101"/>
    <mergeCell ref="I101:J101"/>
    <mergeCell ref="I113:J113"/>
    <mergeCell ref="G111:H111"/>
    <mergeCell ref="G85:H85"/>
    <mergeCell ref="I85:J85"/>
    <mergeCell ref="G95:H95"/>
    <mergeCell ref="I95:J95"/>
    <mergeCell ref="G88:H88"/>
    <mergeCell ref="I88:J88"/>
    <mergeCell ref="G87:H87"/>
    <mergeCell ref="I87:J87"/>
    <mergeCell ref="G90:H90"/>
    <mergeCell ref="I90:J90"/>
    <mergeCell ref="B93:F93"/>
    <mergeCell ref="I94:J94"/>
    <mergeCell ref="G94:H94"/>
    <mergeCell ref="B92:F92"/>
    <mergeCell ref="G92:H92"/>
    <mergeCell ref="I92:J92"/>
    <mergeCell ref="K92:L92"/>
    <mergeCell ref="G93:H93"/>
    <mergeCell ref="I93:J93"/>
    <mergeCell ref="K93:L93"/>
    <mergeCell ref="G96:H96"/>
    <mergeCell ref="I96:J96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80:L80"/>
    <mergeCell ref="K81:L81"/>
    <mergeCell ref="K82:L82"/>
    <mergeCell ref="K83:L83"/>
    <mergeCell ref="K84:L84"/>
    <mergeCell ref="K89:L89"/>
    <mergeCell ref="K91:L91"/>
    <mergeCell ref="K94:L94"/>
    <mergeCell ref="G91:H91"/>
    <mergeCell ref="I91:J91"/>
    <mergeCell ref="G86:H86"/>
    <mergeCell ref="I86:J86"/>
    <mergeCell ref="G35:H35"/>
    <mergeCell ref="G36:H36"/>
    <mergeCell ref="G37:H37"/>
    <mergeCell ref="G38:H38"/>
    <mergeCell ref="G39:H39"/>
    <mergeCell ref="G40:H40"/>
    <mergeCell ref="G41:H41"/>
    <mergeCell ref="G27:H27"/>
    <mergeCell ref="G28:H28"/>
    <mergeCell ref="G29:H29"/>
    <mergeCell ref="G30:H30"/>
    <mergeCell ref="G31:H31"/>
    <mergeCell ref="G32:H32"/>
    <mergeCell ref="G33:H33"/>
    <mergeCell ref="G34:H34"/>
    <mergeCell ref="A7:M7"/>
    <mergeCell ref="A21:F21"/>
    <mergeCell ref="A20:F20"/>
    <mergeCell ref="A22:F22"/>
    <mergeCell ref="A23:F23"/>
    <mergeCell ref="K9:L10"/>
    <mergeCell ref="K11:L11"/>
    <mergeCell ref="A9:F10"/>
    <mergeCell ref="A11:F11"/>
    <mergeCell ref="I9:J10"/>
    <mergeCell ref="I11:J11"/>
    <mergeCell ref="I20:J20"/>
    <mergeCell ref="I21:J21"/>
    <mergeCell ref="I22:J23"/>
    <mergeCell ref="G9:H10"/>
    <mergeCell ref="G11:H11"/>
    <mergeCell ref="G20:H20"/>
    <mergeCell ref="G21:H21"/>
    <mergeCell ref="G22:H23"/>
    <mergeCell ref="G13:H13"/>
    <mergeCell ref="I13:J13"/>
    <mergeCell ref="K13:L13"/>
    <mergeCell ref="G14:H14"/>
    <mergeCell ref="I14:J14"/>
    <mergeCell ref="G169:H169"/>
    <mergeCell ref="G170:H173"/>
    <mergeCell ref="A169:F169"/>
    <mergeCell ref="A170:F170"/>
    <mergeCell ref="A154:F154"/>
    <mergeCell ref="I136:J136"/>
    <mergeCell ref="I133:J133"/>
    <mergeCell ref="I100:J100"/>
    <mergeCell ref="G63:H64"/>
    <mergeCell ref="G69:H69"/>
    <mergeCell ref="I69:J69"/>
    <mergeCell ref="A70:F70"/>
    <mergeCell ref="G70:H70"/>
    <mergeCell ref="I70:J70"/>
    <mergeCell ref="G71:H71"/>
    <mergeCell ref="I71:J71"/>
    <mergeCell ref="G72:H72"/>
    <mergeCell ref="I72:J72"/>
    <mergeCell ref="G73:H73"/>
    <mergeCell ref="I73:J73"/>
    <mergeCell ref="G74:H74"/>
    <mergeCell ref="I74:J74"/>
    <mergeCell ref="G75:H75"/>
    <mergeCell ref="I75:J75"/>
    <mergeCell ref="A153:F153"/>
    <mergeCell ref="G56:H56"/>
    <mergeCell ref="I56:J56"/>
    <mergeCell ref="K56:L56"/>
    <mergeCell ref="G60:H60"/>
    <mergeCell ref="I60:J60"/>
    <mergeCell ref="G76:H76"/>
    <mergeCell ref="I76:J76"/>
    <mergeCell ref="G77:H77"/>
    <mergeCell ref="I77:J77"/>
    <mergeCell ref="G78:H78"/>
    <mergeCell ref="I78:J78"/>
    <mergeCell ref="A80:F80"/>
    <mergeCell ref="G80:H80"/>
    <mergeCell ref="I80:J80"/>
    <mergeCell ref="G81:H81"/>
    <mergeCell ref="I81:J81"/>
    <mergeCell ref="G82:H82"/>
    <mergeCell ref="I82:J82"/>
    <mergeCell ref="B82:F82"/>
    <mergeCell ref="G83:H83"/>
    <mergeCell ref="I83:J83"/>
    <mergeCell ref="G84:H84"/>
    <mergeCell ref="I84:J84"/>
    <mergeCell ref="A187:F187"/>
    <mergeCell ref="A171:F171"/>
    <mergeCell ref="G54:H55"/>
    <mergeCell ref="K191:L191"/>
    <mergeCell ref="K169:L169"/>
    <mergeCell ref="K175:L175"/>
    <mergeCell ref="I182:J182"/>
    <mergeCell ref="K182:L182"/>
    <mergeCell ref="K176:L176"/>
    <mergeCell ref="I170:J173"/>
    <mergeCell ref="I177:J177"/>
    <mergeCell ref="K177:L177"/>
    <mergeCell ref="K185:L185"/>
    <mergeCell ref="I185:J185"/>
    <mergeCell ref="K179:L179"/>
    <mergeCell ref="I179:J179"/>
    <mergeCell ref="I169:J169"/>
    <mergeCell ref="I175:J175"/>
    <mergeCell ref="A186:F186"/>
    <mergeCell ref="A130:F130"/>
    <mergeCell ref="A165:F165"/>
    <mergeCell ref="A166:F166"/>
    <mergeCell ref="A100:F100"/>
    <mergeCell ref="A172:F172"/>
    <mergeCell ref="A54:F54"/>
    <mergeCell ref="A55:F55"/>
    <mergeCell ref="A110:F110"/>
    <mergeCell ref="A62:F62"/>
    <mergeCell ref="A63:F63"/>
    <mergeCell ref="A116:F116"/>
    <mergeCell ref="A98:F99"/>
    <mergeCell ref="A64:F64"/>
    <mergeCell ref="A69:F69"/>
    <mergeCell ref="B107:F107"/>
    <mergeCell ref="B108:F108"/>
    <mergeCell ref="B86:F86"/>
    <mergeCell ref="B83:F83"/>
    <mergeCell ref="B88:F88"/>
    <mergeCell ref="B96:F96"/>
    <mergeCell ref="B97:F97"/>
    <mergeCell ref="B115:F115"/>
    <mergeCell ref="B109:F109"/>
    <mergeCell ref="B85:F85"/>
    <mergeCell ref="B87:F87"/>
    <mergeCell ref="B84:F84"/>
    <mergeCell ref="B89:F89"/>
    <mergeCell ref="B90:F90"/>
    <mergeCell ref="B91:F91"/>
    <mergeCell ref="I57:J57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44:J44"/>
    <mergeCell ref="I45:J45"/>
    <mergeCell ref="I46:J46"/>
    <mergeCell ref="I47:J47"/>
    <mergeCell ref="I38:J38"/>
    <mergeCell ref="I39:J39"/>
    <mergeCell ref="I40:J40"/>
    <mergeCell ref="I51:J51"/>
    <mergeCell ref="K57:L57"/>
    <mergeCell ref="K58:L58"/>
    <mergeCell ref="K60:L60"/>
    <mergeCell ref="K20:L20"/>
    <mergeCell ref="K21:L21"/>
    <mergeCell ref="K22:L23"/>
    <mergeCell ref="K24:L24"/>
    <mergeCell ref="K25:L25"/>
    <mergeCell ref="K26:L26"/>
    <mergeCell ref="K27:L27"/>
    <mergeCell ref="K28:L28"/>
    <mergeCell ref="K29:L29"/>
    <mergeCell ref="K43:L43"/>
    <mergeCell ref="K44:L44"/>
    <mergeCell ref="K45:L45"/>
    <mergeCell ref="K46:L46"/>
    <mergeCell ref="K47:L47"/>
    <mergeCell ref="K31:L31"/>
    <mergeCell ref="K32:L32"/>
    <mergeCell ref="K33:L33"/>
    <mergeCell ref="K34:L34"/>
    <mergeCell ref="K35:L35"/>
    <mergeCell ref="K36:L36"/>
    <mergeCell ref="K50:L50"/>
    <mergeCell ref="I58:J58"/>
    <mergeCell ref="I41:J41"/>
    <mergeCell ref="K113:L113"/>
    <mergeCell ref="I42:J42"/>
    <mergeCell ref="I43:J43"/>
    <mergeCell ref="K120:L120"/>
    <mergeCell ref="K121:L121"/>
    <mergeCell ref="K122:L122"/>
    <mergeCell ref="K165:L166"/>
    <mergeCell ref="K155:L155"/>
    <mergeCell ref="K101:L101"/>
    <mergeCell ref="K127:L127"/>
    <mergeCell ref="K132:L132"/>
    <mergeCell ref="K133:L133"/>
    <mergeCell ref="K137:L137"/>
    <mergeCell ref="K164:L164"/>
    <mergeCell ref="K108:L108"/>
    <mergeCell ref="K131:L131"/>
    <mergeCell ref="K130:L130"/>
    <mergeCell ref="K100:L100"/>
    <mergeCell ref="K107:L107"/>
    <mergeCell ref="K86:L86"/>
    <mergeCell ref="K88:L88"/>
    <mergeCell ref="K87:L87"/>
    <mergeCell ref="M63:M64"/>
    <mergeCell ref="M153:M154"/>
    <mergeCell ref="M98:M99"/>
    <mergeCell ref="M161:M162"/>
    <mergeCell ref="K111:L111"/>
    <mergeCell ref="K68:L68"/>
    <mergeCell ref="K136:L136"/>
    <mergeCell ref="K110:L110"/>
    <mergeCell ref="K112:L112"/>
    <mergeCell ref="K116:L116"/>
    <mergeCell ref="K66:L66"/>
    <mergeCell ref="K67:L67"/>
    <mergeCell ref="K98:L99"/>
    <mergeCell ref="K153:L154"/>
    <mergeCell ref="K106:L106"/>
    <mergeCell ref="K161:L162"/>
    <mergeCell ref="K129:L129"/>
    <mergeCell ref="K79:L79"/>
    <mergeCell ref="K96:L96"/>
    <mergeCell ref="K124:L124"/>
    <mergeCell ref="K65:L65"/>
    <mergeCell ref="K95:L95"/>
    <mergeCell ref="K85:L85"/>
    <mergeCell ref="I180:J180"/>
    <mergeCell ref="K180:L180"/>
    <mergeCell ref="M165:M166"/>
    <mergeCell ref="M170:M173"/>
    <mergeCell ref="I167:J167"/>
    <mergeCell ref="K167:L167"/>
    <mergeCell ref="K168:L168"/>
    <mergeCell ref="I178:J178"/>
    <mergeCell ref="I144:J144"/>
    <mergeCell ref="K144:L144"/>
    <mergeCell ref="I164:J164"/>
    <mergeCell ref="K152:L152"/>
    <mergeCell ref="K186:L187"/>
    <mergeCell ref="M186:M187"/>
    <mergeCell ref="K178:L178"/>
    <mergeCell ref="I168:J168"/>
    <mergeCell ref="G65:H65"/>
    <mergeCell ref="I98:J99"/>
    <mergeCell ref="G66:H66"/>
    <mergeCell ref="I66:J66"/>
    <mergeCell ref="G67:H67"/>
    <mergeCell ref="G68:H68"/>
    <mergeCell ref="G98:H99"/>
    <mergeCell ref="G79:H79"/>
    <mergeCell ref="I79:J79"/>
    <mergeCell ref="I68:J68"/>
    <mergeCell ref="G120:H120"/>
    <mergeCell ref="I120:J120"/>
    <mergeCell ref="G127:H127"/>
    <mergeCell ref="G115:H115"/>
    <mergeCell ref="I115:J115"/>
    <mergeCell ref="K115:L115"/>
    <mergeCell ref="G117:H117"/>
    <mergeCell ref="I117:J117"/>
    <mergeCell ref="I127:J127"/>
    <mergeCell ref="G116:H116"/>
    <mergeCell ref="G57:H57"/>
    <mergeCell ref="G44:H44"/>
    <mergeCell ref="G45:H45"/>
    <mergeCell ref="G46:H46"/>
    <mergeCell ref="G47:H47"/>
    <mergeCell ref="G58:H58"/>
    <mergeCell ref="G59:H59"/>
    <mergeCell ref="G61:H61"/>
    <mergeCell ref="G62:H62"/>
    <mergeCell ref="G51:H51"/>
    <mergeCell ref="I59:J59"/>
    <mergeCell ref="I61:J61"/>
    <mergeCell ref="I62:J62"/>
    <mergeCell ref="I63:J64"/>
    <mergeCell ref="I65:J65"/>
    <mergeCell ref="I111:J111"/>
    <mergeCell ref="G113:H113"/>
    <mergeCell ref="I114:J114"/>
    <mergeCell ref="K114:L114"/>
    <mergeCell ref="G106:H106"/>
    <mergeCell ref="I106:J106"/>
    <mergeCell ref="G108:H108"/>
    <mergeCell ref="G107:H107"/>
    <mergeCell ref="I107:J107"/>
    <mergeCell ref="G110:H110"/>
    <mergeCell ref="G112:H112"/>
    <mergeCell ref="K90:L90"/>
    <mergeCell ref="K59:L59"/>
    <mergeCell ref="K61:L61"/>
    <mergeCell ref="K62:L62"/>
    <mergeCell ref="K63:L64"/>
    <mergeCell ref="I67:J67"/>
    <mergeCell ref="G89:H89"/>
    <mergeCell ref="I89:J89"/>
    <mergeCell ref="I186:J187"/>
    <mergeCell ref="A5:M5"/>
    <mergeCell ref="G191:H191"/>
    <mergeCell ref="I191:J191"/>
    <mergeCell ref="G179:H179"/>
    <mergeCell ref="G176:H176"/>
    <mergeCell ref="I176:J176"/>
    <mergeCell ref="G178:H178"/>
    <mergeCell ref="I165:J166"/>
    <mergeCell ref="G137:H137"/>
    <mergeCell ref="G155:H155"/>
    <mergeCell ref="I155:J155"/>
    <mergeCell ref="G135:H135"/>
    <mergeCell ref="I135:J135"/>
    <mergeCell ref="K135:L135"/>
    <mergeCell ref="I110:J110"/>
    <mergeCell ref="I112:J112"/>
    <mergeCell ref="I116:J116"/>
    <mergeCell ref="G133:H133"/>
    <mergeCell ref="G131:H131"/>
    <mergeCell ref="I131:J131"/>
    <mergeCell ref="I129:J129"/>
    <mergeCell ref="G121:H121"/>
    <mergeCell ref="G124:H124"/>
    <mergeCell ref="B13:F13"/>
    <mergeCell ref="K14:L14"/>
    <mergeCell ref="G15:H15"/>
    <mergeCell ref="I15:J15"/>
    <mergeCell ref="K15:L15"/>
    <mergeCell ref="G16:H16"/>
    <mergeCell ref="I16:J16"/>
    <mergeCell ref="K16:L16"/>
    <mergeCell ref="G17:H17"/>
    <mergeCell ref="I17:J17"/>
    <mergeCell ref="K17:L17"/>
    <mergeCell ref="A161:F161"/>
    <mergeCell ref="I161:J162"/>
    <mergeCell ref="G134:H134"/>
    <mergeCell ref="I134:J134"/>
    <mergeCell ref="K134:L134"/>
    <mergeCell ref="I104:J104"/>
    <mergeCell ref="K104:L104"/>
    <mergeCell ref="I105:J105"/>
    <mergeCell ref="K105:L105"/>
    <mergeCell ref="G105:H105"/>
    <mergeCell ref="I108:J108"/>
    <mergeCell ref="G109:H109"/>
    <mergeCell ref="I109:J109"/>
    <mergeCell ref="K109:L109"/>
    <mergeCell ref="K126:L126"/>
    <mergeCell ref="G148:H148"/>
    <mergeCell ref="I148:J148"/>
    <mergeCell ref="K148:L148"/>
    <mergeCell ref="G157:H157"/>
    <mergeCell ref="I157:J157"/>
    <mergeCell ref="K157:L157"/>
    <mergeCell ref="G158:H158"/>
    <mergeCell ref="I158:J158"/>
    <mergeCell ref="K158:L158"/>
    <mergeCell ref="G161:H162"/>
    <mergeCell ref="G153:H154"/>
    <mergeCell ref="I153:J154"/>
    <mergeCell ref="I124:J124"/>
    <mergeCell ref="I125:J125"/>
    <mergeCell ref="G125:H125"/>
    <mergeCell ref="K142:L142"/>
    <mergeCell ref="G126:H126"/>
    <mergeCell ref="I126:J126"/>
    <mergeCell ref="G128:H128"/>
    <mergeCell ref="I128:J128"/>
    <mergeCell ref="K128:L128"/>
    <mergeCell ref="G152:H152"/>
    <mergeCell ref="I152:J152"/>
    <mergeCell ref="K125:L125"/>
    <mergeCell ref="I130:J130"/>
    <mergeCell ref="I132:J132"/>
    <mergeCell ref="A48:F48"/>
    <mergeCell ref="G48:H49"/>
    <mergeCell ref="I48:J49"/>
    <mergeCell ref="K48:L49"/>
    <mergeCell ref="A49:F49"/>
    <mergeCell ref="G50:H50"/>
    <mergeCell ref="I50:J50"/>
    <mergeCell ref="G188:H188"/>
    <mergeCell ref="I188:J188"/>
    <mergeCell ref="K188:L188"/>
    <mergeCell ref="G182:H182"/>
    <mergeCell ref="G185:H185"/>
    <mergeCell ref="G180:H180"/>
    <mergeCell ref="A162:F162"/>
    <mergeCell ref="G181:H181"/>
    <mergeCell ref="I181:J181"/>
    <mergeCell ref="K181:L181"/>
    <mergeCell ref="G184:H184"/>
    <mergeCell ref="I184:J184"/>
    <mergeCell ref="K184:L184"/>
    <mergeCell ref="G174:H174"/>
    <mergeCell ref="I174:J174"/>
    <mergeCell ref="K174:L174"/>
    <mergeCell ref="K170:L173"/>
    <mergeCell ref="B160:F160"/>
    <mergeCell ref="G156:H156"/>
    <mergeCell ref="I156:J156"/>
    <mergeCell ref="K156:L156"/>
    <mergeCell ref="B158:F158"/>
    <mergeCell ref="G159:H159"/>
    <mergeCell ref="I159:J159"/>
    <mergeCell ref="K159:L159"/>
    <mergeCell ref="G160:H160"/>
    <mergeCell ref="I160:J160"/>
    <mergeCell ref="K160:L160"/>
    <mergeCell ref="B156:F156"/>
    <mergeCell ref="B157:F157"/>
    <mergeCell ref="B159:F159"/>
    <mergeCell ref="K51:L51"/>
    <mergeCell ref="M54:M55"/>
    <mergeCell ref="G18:H18"/>
    <mergeCell ref="I18:J18"/>
    <mergeCell ref="K18:L18"/>
    <mergeCell ref="G19:H19"/>
    <mergeCell ref="I19:J19"/>
    <mergeCell ref="K19:L19"/>
    <mergeCell ref="K40:L40"/>
    <mergeCell ref="K41:L41"/>
    <mergeCell ref="K42:L42"/>
    <mergeCell ref="K37:L37"/>
    <mergeCell ref="K38:L38"/>
    <mergeCell ref="K39:L39"/>
    <mergeCell ref="M22:M23"/>
    <mergeCell ref="M48:M49"/>
    <mergeCell ref="K30:L30"/>
    <mergeCell ref="K54:L55"/>
    <mergeCell ref="I54:J55"/>
    <mergeCell ref="G24:H24"/>
    <mergeCell ref="G25:H25"/>
    <mergeCell ref="G26:H26"/>
    <mergeCell ref="G42:H42"/>
    <mergeCell ref="G43:H43"/>
    <mergeCell ref="G190:H190"/>
    <mergeCell ref="I190:J190"/>
    <mergeCell ref="K190:L190"/>
    <mergeCell ref="G52:H52"/>
    <mergeCell ref="I52:J52"/>
    <mergeCell ref="K52:L52"/>
    <mergeCell ref="G53:H53"/>
    <mergeCell ref="I53:J53"/>
    <mergeCell ref="K53:L53"/>
    <mergeCell ref="I183:J183"/>
    <mergeCell ref="K183:L183"/>
    <mergeCell ref="G189:H189"/>
    <mergeCell ref="I189:J189"/>
    <mergeCell ref="K189:L189"/>
    <mergeCell ref="G177:H177"/>
    <mergeCell ref="G175:H175"/>
    <mergeCell ref="G168:H168"/>
    <mergeCell ref="G164:H164"/>
    <mergeCell ref="G165:H166"/>
    <mergeCell ref="G167:H167"/>
    <mergeCell ref="G186:H187"/>
    <mergeCell ref="G163:H163"/>
    <mergeCell ref="I163:J163"/>
    <mergeCell ref="K163:L163"/>
  </mergeCells>
  <pageMargins left="0.7" right="0.7" top="0.75" bottom="0.75" header="0.3" footer="0.3"/>
  <pageSetup paperSize="9" scale="49" orientation="portrait" r:id="rId2"/>
  <rowBreaks count="1" manualBreakCount="1">
    <brk id="97" max="16383" man="1"/>
  </rowBreaks>
  <ignoredErrors>
    <ignoredError sqref="M62:M64 M164 M168 M185:M186 M154 M54 M102 M110 M116 M129:M130 M135:M137 M161:M162 M165:M166 M182 M169:M173 M13 M15:M17 M112 M121 M132:M133 M175 M177:M178 M138 M176 M179:M18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zoomScaleNormal="100" workbookViewId="0">
      <selection activeCell="O34" sqref="O34"/>
    </sheetView>
  </sheetViews>
  <sheetFormatPr defaultRowHeight="15" x14ac:dyDescent="0.25"/>
  <cols>
    <col min="1" max="1" width="5.140625" customWidth="1"/>
    <col min="2" max="2" width="27.7109375" customWidth="1"/>
    <col min="3" max="4" width="11.7109375" customWidth="1"/>
    <col min="5" max="5" width="14.42578125" customWidth="1"/>
    <col min="6" max="7" width="10.140625" customWidth="1"/>
    <col min="8" max="11" width="11.7109375" customWidth="1"/>
    <col min="12" max="12" width="13.42578125" bestFit="1" customWidth="1"/>
    <col min="13" max="13" width="7.5703125" customWidth="1"/>
  </cols>
  <sheetData>
    <row r="1" spans="1:14" x14ac:dyDescent="0.25">
      <c r="A1" s="75" t="s">
        <v>222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x14ac:dyDescent="0.25">
      <c r="A2" s="74" t="s">
        <v>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x14ac:dyDescent="0.25">
      <c r="A3" s="74" t="s">
        <v>223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4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5">
      <c r="A5" s="207" t="s">
        <v>177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4" x14ac:dyDescent="0.25">
      <c r="A6" s="207" t="s">
        <v>178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4" ht="15.75" thickBot="1" x14ac:dyDescent="0.3"/>
    <row r="8" spans="1:14" x14ac:dyDescent="0.25">
      <c r="A8" s="518"/>
      <c r="B8" s="519"/>
      <c r="C8" s="519"/>
      <c r="D8" s="519"/>
      <c r="E8" s="519"/>
      <c r="F8" s="519"/>
      <c r="G8" s="520"/>
      <c r="H8" s="532" t="s">
        <v>185</v>
      </c>
      <c r="I8" s="532"/>
      <c r="J8" s="532" t="s">
        <v>208</v>
      </c>
      <c r="K8" s="532"/>
      <c r="L8" s="532" t="s">
        <v>207</v>
      </c>
      <c r="M8" s="532"/>
    </row>
    <row r="9" spans="1:14" ht="15.75" thickBot="1" x14ac:dyDescent="0.3">
      <c r="A9" s="521"/>
      <c r="B9" s="522"/>
      <c r="C9" s="522"/>
      <c r="D9" s="522"/>
      <c r="E9" s="522"/>
      <c r="F9" s="522"/>
      <c r="G9" s="523"/>
      <c r="H9" s="533"/>
      <c r="I9" s="533"/>
      <c r="J9" s="533"/>
      <c r="K9" s="533"/>
      <c r="L9" s="533"/>
      <c r="M9" s="533"/>
    </row>
    <row r="10" spans="1:14" ht="15" customHeight="1" x14ac:dyDescent="0.25">
      <c r="A10" s="530" t="s">
        <v>186</v>
      </c>
      <c r="B10" s="531" t="s">
        <v>187</v>
      </c>
      <c r="C10" s="530" t="s">
        <v>188</v>
      </c>
      <c r="D10" s="530" t="s">
        <v>189</v>
      </c>
      <c r="E10" s="530" t="s">
        <v>190</v>
      </c>
      <c r="F10" s="530" t="s">
        <v>191</v>
      </c>
      <c r="G10" s="530" t="s">
        <v>192</v>
      </c>
      <c r="H10" s="530" t="s">
        <v>193</v>
      </c>
      <c r="I10" s="530" t="s">
        <v>194</v>
      </c>
      <c r="J10" s="530" t="s">
        <v>209</v>
      </c>
      <c r="K10" s="530" t="s">
        <v>210</v>
      </c>
      <c r="L10" s="530" t="s">
        <v>195</v>
      </c>
      <c r="M10" s="530" t="s">
        <v>196</v>
      </c>
    </row>
    <row r="11" spans="1:14" s="74" customFormat="1" x14ac:dyDescent="0.25">
      <c r="A11" s="206"/>
      <c r="B11" s="531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</row>
    <row r="12" spans="1:14" s="74" customFormat="1" x14ac:dyDescent="0.25">
      <c r="A12" s="206"/>
      <c r="B12" s="531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</row>
    <row r="13" spans="1:14" s="74" customFormat="1" x14ac:dyDescent="0.25">
      <c r="A13" s="206"/>
      <c r="B13" s="530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</row>
    <row r="14" spans="1:14" ht="15.75" thickBot="1" x14ac:dyDescent="0.3">
      <c r="A14" s="68">
        <v>1</v>
      </c>
      <c r="B14" s="68">
        <v>2</v>
      </c>
      <c r="C14" s="68">
        <v>3</v>
      </c>
      <c r="D14" s="68">
        <v>4</v>
      </c>
      <c r="E14" s="68">
        <v>5</v>
      </c>
      <c r="F14" s="68">
        <v>6</v>
      </c>
      <c r="G14" s="68">
        <v>7</v>
      </c>
      <c r="H14" s="68">
        <v>8</v>
      </c>
      <c r="I14" s="68">
        <v>9</v>
      </c>
      <c r="J14" s="68">
        <v>10</v>
      </c>
      <c r="K14" s="68">
        <v>11</v>
      </c>
      <c r="L14" s="68">
        <v>12</v>
      </c>
      <c r="M14" s="68">
        <v>13</v>
      </c>
      <c r="N14" s="76"/>
    </row>
    <row r="15" spans="1:14" ht="15" customHeight="1" x14ac:dyDescent="0.25">
      <c r="A15" s="526" t="s">
        <v>182</v>
      </c>
      <c r="B15" s="514" t="s">
        <v>272</v>
      </c>
      <c r="C15" s="524" t="s">
        <v>179</v>
      </c>
      <c r="D15" s="526" t="s">
        <v>197</v>
      </c>
      <c r="E15" s="528">
        <v>45444</v>
      </c>
      <c r="F15" s="528">
        <v>45900</v>
      </c>
      <c r="G15" s="516">
        <v>49230</v>
      </c>
      <c r="H15" s="516">
        <v>39384</v>
      </c>
      <c r="I15" s="516">
        <v>7595.96</v>
      </c>
      <c r="J15" s="516">
        <v>39384</v>
      </c>
      <c r="K15" s="516">
        <v>7595.96</v>
      </c>
      <c r="L15" s="516">
        <v>0</v>
      </c>
      <c r="M15" s="516">
        <v>0</v>
      </c>
    </row>
    <row r="16" spans="1:14" ht="45" customHeight="1" thickBot="1" x14ac:dyDescent="0.3">
      <c r="A16" s="527"/>
      <c r="B16" s="515"/>
      <c r="C16" s="525"/>
      <c r="D16" s="527"/>
      <c r="E16" s="529"/>
      <c r="F16" s="529"/>
      <c r="G16" s="517"/>
      <c r="H16" s="517"/>
      <c r="I16" s="517"/>
      <c r="J16" s="517"/>
      <c r="K16" s="517"/>
      <c r="L16" s="517"/>
      <c r="M16" s="517"/>
    </row>
  </sheetData>
  <mergeCells count="32">
    <mergeCell ref="B10:B13"/>
    <mergeCell ref="A5:M5"/>
    <mergeCell ref="A10:A13"/>
    <mergeCell ref="H8:I9"/>
    <mergeCell ref="J8:K9"/>
    <mergeCell ref="L8:M9"/>
    <mergeCell ref="C10:C13"/>
    <mergeCell ref="E10:E13"/>
    <mergeCell ref="D10:D13"/>
    <mergeCell ref="F10:F13"/>
    <mergeCell ref="G10:G13"/>
    <mergeCell ref="H10:H13"/>
    <mergeCell ref="I10:I13"/>
    <mergeCell ref="J10:J13"/>
    <mergeCell ref="K10:K13"/>
    <mergeCell ref="L10:L13"/>
    <mergeCell ref="B15:B16"/>
    <mergeCell ref="L15:L16"/>
    <mergeCell ref="M15:M16"/>
    <mergeCell ref="A6:M6"/>
    <mergeCell ref="A8:G9"/>
    <mergeCell ref="G15:G16"/>
    <mergeCell ref="H15:H16"/>
    <mergeCell ref="I15:I16"/>
    <mergeCell ref="J15:J16"/>
    <mergeCell ref="K15:K16"/>
    <mergeCell ref="C15:C16"/>
    <mergeCell ref="D15:D16"/>
    <mergeCell ref="A15:A16"/>
    <mergeCell ref="E15:E16"/>
    <mergeCell ref="F15:F16"/>
    <mergeCell ref="M10:M13"/>
  </mergeCells>
  <pageMargins left="0.7" right="0.7" top="0.75" bottom="0.75" header="0.3" footer="0.3"/>
  <pageSetup paperSize="9" scale="5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zoomScaleNormal="100" workbookViewId="0">
      <selection activeCell="A11" sqref="A11:F11"/>
    </sheetView>
  </sheetViews>
  <sheetFormatPr defaultRowHeight="15" x14ac:dyDescent="0.25"/>
  <cols>
    <col min="8" max="8" width="3.42578125" customWidth="1"/>
  </cols>
  <sheetData>
    <row r="1" spans="1:13" x14ac:dyDescent="0.25">
      <c r="A1" s="75" t="s">
        <v>222</v>
      </c>
    </row>
    <row r="2" spans="1:13" x14ac:dyDescent="0.25">
      <c r="A2" s="74" t="s">
        <v>12</v>
      </c>
    </row>
    <row r="3" spans="1:13" x14ac:dyDescent="0.25">
      <c r="A3" s="74" t="s">
        <v>223</v>
      </c>
    </row>
    <row r="5" spans="1:13" x14ac:dyDescent="0.25">
      <c r="A5" s="207" t="s">
        <v>177</v>
      </c>
      <c r="B5" s="207"/>
      <c r="C5" s="207"/>
      <c r="D5" s="207"/>
      <c r="E5" s="207"/>
      <c r="F5" s="207"/>
      <c r="G5" s="207"/>
      <c r="H5" s="207"/>
      <c r="I5" s="60"/>
      <c r="J5" s="60"/>
      <c r="K5" s="60"/>
      <c r="L5" s="60"/>
      <c r="M5" s="60"/>
    </row>
    <row r="6" spans="1:13" ht="15" customHeight="1" x14ac:dyDescent="0.25">
      <c r="A6" s="499" t="s">
        <v>180</v>
      </c>
      <c r="B6" s="499"/>
      <c r="C6" s="499"/>
      <c r="D6" s="499"/>
      <c r="E6" s="499"/>
      <c r="F6" s="499"/>
      <c r="G6" s="499"/>
      <c r="H6" s="499"/>
      <c r="I6" s="73"/>
      <c r="J6" s="73"/>
      <c r="K6" s="73"/>
      <c r="L6" s="73"/>
      <c r="M6" s="73"/>
    </row>
    <row r="7" spans="1:13" x14ac:dyDescent="0.25">
      <c r="A7" s="499"/>
      <c r="B7" s="499"/>
      <c r="C7" s="499"/>
      <c r="D7" s="499"/>
      <c r="E7" s="499"/>
      <c r="F7" s="499"/>
      <c r="G7" s="499"/>
      <c r="H7" s="499"/>
      <c r="I7" s="73"/>
      <c r="J7" s="73"/>
      <c r="K7" s="73"/>
      <c r="L7" s="73"/>
      <c r="M7" s="73"/>
    </row>
    <row r="8" spans="1:13" ht="15.75" thickBot="1" x14ac:dyDescent="0.3"/>
    <row r="9" spans="1:13" ht="15" customHeight="1" x14ac:dyDescent="0.25">
      <c r="A9" s="428" t="s">
        <v>273</v>
      </c>
      <c r="B9" s="429"/>
      <c r="C9" s="429"/>
      <c r="D9" s="429"/>
      <c r="E9" s="429"/>
      <c r="F9" s="430"/>
      <c r="G9" s="170" t="s">
        <v>206</v>
      </c>
      <c r="H9" s="171"/>
    </row>
    <row r="10" spans="1:13" x14ac:dyDescent="0.25">
      <c r="A10" s="431"/>
      <c r="B10" s="432"/>
      <c r="C10" s="432"/>
      <c r="D10" s="432"/>
      <c r="E10" s="432"/>
      <c r="F10" s="433"/>
      <c r="G10" s="534"/>
      <c r="H10" s="535"/>
    </row>
    <row r="11" spans="1:13" ht="15.75" thickBot="1" x14ac:dyDescent="0.3">
      <c r="A11" s="305" t="s">
        <v>181</v>
      </c>
      <c r="B11" s="306"/>
      <c r="C11" s="306"/>
      <c r="D11" s="306"/>
      <c r="E11" s="306"/>
      <c r="F11" s="307"/>
      <c r="G11" s="536"/>
      <c r="H11" s="537"/>
    </row>
    <row r="12" spans="1:13" ht="15" customHeight="1" x14ac:dyDescent="0.25">
      <c r="A12" s="77" t="s">
        <v>182</v>
      </c>
      <c r="B12" s="80" t="s">
        <v>198</v>
      </c>
      <c r="C12" s="80"/>
      <c r="D12" s="80"/>
      <c r="E12" s="80"/>
      <c r="F12" s="81"/>
      <c r="G12" s="542">
        <v>0</v>
      </c>
      <c r="H12" s="543"/>
    </row>
    <row r="13" spans="1:13" ht="15" customHeight="1" x14ac:dyDescent="0.25">
      <c r="A13" s="78" t="s">
        <v>183</v>
      </c>
      <c r="B13" s="82" t="s">
        <v>199</v>
      </c>
      <c r="C13" s="69"/>
      <c r="D13" s="69"/>
      <c r="E13" s="69"/>
      <c r="F13" s="70"/>
      <c r="G13" s="538">
        <v>0</v>
      </c>
      <c r="H13" s="539"/>
    </row>
    <row r="14" spans="1:13" ht="15.75" customHeight="1" thickBot="1" x14ac:dyDescent="0.3">
      <c r="A14" s="79" t="s">
        <v>184</v>
      </c>
      <c r="B14" s="83" t="s">
        <v>200</v>
      </c>
      <c r="C14" s="71"/>
      <c r="D14" s="71"/>
      <c r="E14" s="71"/>
      <c r="F14" s="72"/>
      <c r="G14" s="540">
        <v>0</v>
      </c>
      <c r="H14" s="541"/>
    </row>
  </sheetData>
  <mergeCells count="8">
    <mergeCell ref="A5:H5"/>
    <mergeCell ref="G9:H11"/>
    <mergeCell ref="G13:H13"/>
    <mergeCell ref="G14:H14"/>
    <mergeCell ref="A6:H7"/>
    <mergeCell ref="A11:F11"/>
    <mergeCell ref="G12:H12"/>
    <mergeCell ref="A9:F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SAŽETAK</vt:lpstr>
      <vt:lpstr>Račun prihoda i rashoda</vt:lpstr>
      <vt:lpstr>Rashodi i prihodi prema izvoru</vt:lpstr>
      <vt:lpstr>Rashodi prema funkcijskoj k </vt:lpstr>
      <vt:lpstr>Programska klasifikacija</vt:lpstr>
      <vt:lpstr>Posebni izvještaj-EU fondovi</vt:lpstr>
      <vt:lpstr>Stanje potraživanja, obveza</vt:lpstr>
      <vt:lpstr>'Programska klasifikacija'!Print_Area</vt:lpstr>
      <vt:lpstr>'Račun prihoda i rashoda'!Print_Area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Racunovodja</dc:creator>
  <cp:lastModifiedBy>User</cp:lastModifiedBy>
  <cp:lastPrinted>2025-10-28T09:43:30Z</cp:lastPrinted>
  <dcterms:created xsi:type="dcterms:W3CDTF">2023-02-09T09:40:18Z</dcterms:created>
  <dcterms:modified xsi:type="dcterms:W3CDTF">2025-10-28T13:28:44Z</dcterms:modified>
</cp:coreProperties>
</file>