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E2895F-685C-4548-A25B-41A4762D9913}" xr6:coauthVersionLast="47" xr6:coauthVersionMax="47" xr10:uidLastSave="{00000000-0000-0000-0000-000000000000}"/>
  <bookViews>
    <workbookView xWindow="-120" yWindow="-120" windowWidth="29040" windowHeight="15720" tabRatio="939" activeTab="7" xr2:uid="{00000000-000D-0000-FFFF-FFFF00000000}"/>
  </bookViews>
  <sheets>
    <sheet name="SAŽETAK" sheetId="1" r:id="rId1"/>
    <sheet name="Račun prihoda i rashoda" sheetId="3" r:id="rId2"/>
    <sheet name="Rashodi i prihodi prema izvoru" sheetId="4" r:id="rId3"/>
    <sheet name="Rashodi prema funkcijskoj k " sheetId="5" r:id="rId4"/>
    <sheet name="Račun financiranja" sheetId="11" r:id="rId5"/>
    <sheet name="Račun financiranja po izvorima" sheetId="12" r:id="rId6"/>
    <sheet name="Programska klasifikacija" sheetId="2" r:id="rId7"/>
    <sheet name="Posebni izvještaj-EU fondovi" sheetId="10" r:id="rId8"/>
    <sheet name="Stanje potraživanja, obveza" sheetId="9" r:id="rId9"/>
  </sheets>
  <definedNames>
    <definedName name="_xlnm.Print_Area" localSheetId="6">'Programska klasifikacija'!$A$1:$K$182</definedName>
    <definedName name="_xlnm.Print_Area" localSheetId="1">'Račun prihoda i rashoda'!$A$1:$Q$118</definedName>
  </definedNames>
  <calcPr calcId="191029"/>
  <customWorkbookViews>
    <customWorkbookView name="Racunovodja - osobni prikaz" guid="{005C429F-8448-44DF-83AD-8A930973E873}" mergeInterval="0" personalView="1" maximized="1" xWindow="-8" yWindow="-8" windowWidth="1936" windowHeight="1048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3" i="2" l="1"/>
  <c r="I62" i="2" l="1"/>
  <c r="I39" i="2"/>
  <c r="I42" i="2"/>
  <c r="I38" i="2"/>
  <c r="I36" i="2"/>
  <c r="I32" i="2"/>
  <c r="I30" i="2"/>
  <c r="I28" i="2"/>
  <c r="I47" i="2"/>
  <c r="I37" i="2"/>
  <c r="I43" i="2"/>
  <c r="I27" i="2"/>
  <c r="I156" i="2"/>
  <c r="I153" i="2"/>
  <c r="I152" i="2"/>
  <c r="I148" i="2"/>
  <c r="I59" i="2"/>
  <c r="I60" i="2"/>
  <c r="I58" i="2"/>
  <c r="L14" i="4" l="1"/>
  <c r="K14" i="4"/>
  <c r="L18" i="1"/>
  <c r="K18" i="1"/>
  <c r="K15" i="4" l="1"/>
  <c r="I23" i="4" l="1"/>
  <c r="I24" i="4"/>
  <c r="I147" i="2" l="1"/>
  <c r="I90" i="2"/>
  <c r="K90" i="2" s="1"/>
  <c r="J55" i="3" l="1"/>
  <c r="N55" i="3"/>
  <c r="N54" i="3" s="1"/>
  <c r="N53" i="3" s="1"/>
  <c r="P57" i="3" l="1"/>
  <c r="I14" i="5" l="1"/>
  <c r="K14" i="5"/>
  <c r="J63" i="3" l="1"/>
  <c r="J62" i="3" s="1"/>
  <c r="N62" i="3"/>
  <c r="P40" i="3"/>
  <c r="P37" i="3"/>
  <c r="L33" i="12" l="1"/>
  <c r="K33" i="12"/>
  <c r="I32" i="12"/>
  <c r="G32" i="12"/>
  <c r="E32" i="12"/>
  <c r="L31" i="12"/>
  <c r="K31" i="12"/>
  <c r="I30" i="12"/>
  <c r="G30" i="12"/>
  <c r="E30" i="12"/>
  <c r="L29" i="12"/>
  <c r="K29" i="12"/>
  <c r="L28" i="12"/>
  <c r="K28" i="12"/>
  <c r="I27" i="12"/>
  <c r="G27" i="12"/>
  <c r="E27" i="12"/>
  <c r="K27" i="12" s="1"/>
  <c r="L19" i="12"/>
  <c r="K19" i="12"/>
  <c r="I18" i="12"/>
  <c r="G18" i="12"/>
  <c r="E18" i="12"/>
  <c r="L17" i="12"/>
  <c r="K17" i="12"/>
  <c r="I16" i="12"/>
  <c r="G16" i="12"/>
  <c r="E16" i="12"/>
  <c r="L15" i="12"/>
  <c r="K15" i="12"/>
  <c r="L14" i="12"/>
  <c r="K14" i="12"/>
  <c r="I13" i="12"/>
  <c r="G13" i="12"/>
  <c r="G21" i="12" s="1"/>
  <c r="E13" i="12"/>
  <c r="O19" i="11"/>
  <c r="N19" i="11"/>
  <c r="O18" i="11"/>
  <c r="N18" i="11"/>
  <c r="O16" i="11"/>
  <c r="N16" i="11"/>
  <c r="O15" i="11"/>
  <c r="N15" i="11"/>
  <c r="O14" i="11"/>
  <c r="N14" i="11"/>
  <c r="O13" i="11"/>
  <c r="N13" i="11"/>
  <c r="O12" i="11"/>
  <c r="N12" i="11"/>
  <c r="L27" i="12" l="1"/>
  <c r="E21" i="12"/>
  <c r="L32" i="12"/>
  <c r="G35" i="12"/>
  <c r="K13" i="12"/>
  <c r="L16" i="12"/>
  <c r="L18" i="12"/>
  <c r="L30" i="12"/>
  <c r="I21" i="12"/>
  <c r="K21" i="12" s="1"/>
  <c r="K16" i="12"/>
  <c r="I35" i="12"/>
  <c r="L35" i="12"/>
  <c r="L13" i="12"/>
  <c r="K32" i="12"/>
  <c r="L21" i="12"/>
  <c r="K18" i="12"/>
  <c r="K30" i="12"/>
  <c r="E35" i="12"/>
  <c r="K35" i="12" s="1"/>
  <c r="N101" i="3" l="1"/>
  <c r="N100" i="3" s="1"/>
  <c r="N92" i="3"/>
  <c r="J92" i="3"/>
  <c r="G49" i="4"/>
  <c r="G47" i="4"/>
  <c r="G44" i="4"/>
  <c r="G40" i="4"/>
  <c r="G38" i="4"/>
  <c r="G35" i="4"/>
  <c r="E35" i="4"/>
  <c r="I35" i="4"/>
  <c r="G27" i="4"/>
  <c r="E13" i="4"/>
  <c r="I13" i="4"/>
  <c r="G13" i="4"/>
  <c r="G15" i="2"/>
  <c r="G18" i="2"/>
  <c r="G17" i="2"/>
  <c r="I163" i="2"/>
  <c r="I161" i="2" s="1"/>
  <c r="G161" i="2"/>
  <c r="I136" i="2"/>
  <c r="I135" i="2" s="1"/>
  <c r="G135" i="2"/>
  <c r="G132" i="2"/>
  <c r="I133" i="2"/>
  <c r="I132" i="2" s="1"/>
  <c r="I121" i="2"/>
  <c r="G112" i="2"/>
  <c r="G83" i="2"/>
  <c r="G80" i="2"/>
  <c r="I72" i="2"/>
  <c r="G52" i="2"/>
  <c r="I53" i="2"/>
  <c r="I52" i="2" s="1"/>
  <c r="G49" i="2"/>
  <c r="I50" i="2"/>
  <c r="I49" i="2" s="1"/>
  <c r="G14" i="2" l="1"/>
  <c r="K163" i="2"/>
  <c r="K161" i="2"/>
  <c r="K135" i="2"/>
  <c r="I131" i="2"/>
  <c r="K136" i="2"/>
  <c r="G131" i="2"/>
  <c r="K133" i="2"/>
  <c r="G101" i="2"/>
  <c r="G87" i="2"/>
  <c r="G48" i="2"/>
  <c r="I48" i="2"/>
  <c r="K53" i="2"/>
  <c r="K52" i="2"/>
  <c r="K49" i="2"/>
  <c r="I181" i="2"/>
  <c r="I178" i="2"/>
  <c r="G167" i="2"/>
  <c r="I168" i="2"/>
  <c r="I167" i="2" s="1"/>
  <c r="I174" i="2"/>
  <c r="I171" i="2"/>
  <c r="I93" i="2"/>
  <c r="I159" i="2"/>
  <c r="I157" i="2" s="1"/>
  <c r="G157" i="2"/>
  <c r="G142" i="2" s="1"/>
  <c r="G116" i="2"/>
  <c r="I117" i="2"/>
  <c r="I116" i="2" s="1"/>
  <c r="I20" i="2" s="1"/>
  <c r="I155" i="2"/>
  <c r="I143" i="2" s="1"/>
  <c r="I142" i="2" s="1"/>
  <c r="G138" i="2"/>
  <c r="I140" i="2"/>
  <c r="I138" i="2" s="1"/>
  <c r="G127" i="2"/>
  <c r="I129" i="2"/>
  <c r="I127" i="2" s="1"/>
  <c r="G119" i="2"/>
  <c r="I119" i="2"/>
  <c r="I113" i="2"/>
  <c r="I112" i="2" s="1"/>
  <c r="I19" i="2" s="1"/>
  <c r="I110" i="2"/>
  <c r="I102" i="2"/>
  <c r="G98" i="2"/>
  <c r="I99" i="2"/>
  <c r="I98" i="2" s="1"/>
  <c r="I95" i="2"/>
  <c r="K95" i="2" s="1"/>
  <c r="I88" i="2"/>
  <c r="I84" i="2"/>
  <c r="I83" i="2" s="1"/>
  <c r="I81" i="2"/>
  <c r="I80" i="2" s="1"/>
  <c r="I77" i="2"/>
  <c r="I75" i="2"/>
  <c r="G69" i="2"/>
  <c r="I70" i="2"/>
  <c r="I69" i="2" s="1"/>
  <c r="I16" i="2" s="1"/>
  <c r="G64" i="2"/>
  <c r="I66" i="2"/>
  <c r="I64" i="2" s="1"/>
  <c r="I61" i="2"/>
  <c r="I57" i="2"/>
  <c r="G23" i="2"/>
  <c r="I25" i="2"/>
  <c r="I23" i="2" s="1"/>
  <c r="I15" i="2" l="1"/>
  <c r="K15" i="2"/>
  <c r="K16" i="2"/>
  <c r="I87" i="2"/>
  <c r="K88" i="2"/>
  <c r="K131" i="2"/>
  <c r="K132" i="2"/>
  <c r="I74" i="2"/>
  <c r="G74" i="2"/>
  <c r="K178" i="2"/>
  <c r="G176" i="2"/>
  <c r="I176" i="2"/>
  <c r="K174" i="2"/>
  <c r="K181" i="2"/>
  <c r="K167" i="2"/>
  <c r="K168" i="2"/>
  <c r="K93" i="2"/>
  <c r="G55" i="2"/>
  <c r="G22" i="2" s="1"/>
  <c r="I55" i="2"/>
  <c r="I22" i="2" s="1"/>
  <c r="K157" i="2"/>
  <c r="K159" i="2"/>
  <c r="I101" i="2"/>
  <c r="K65" i="2"/>
  <c r="G14" i="5"/>
  <c r="N16" i="5"/>
  <c r="M16" i="5"/>
  <c r="K15" i="5"/>
  <c r="I15" i="5"/>
  <c r="G15" i="5"/>
  <c r="I18" i="2" l="1"/>
  <c r="I79" i="2"/>
  <c r="N15" i="5"/>
  <c r="M15" i="5"/>
  <c r="E27" i="4"/>
  <c r="E25" i="4"/>
  <c r="E24" i="4"/>
  <c r="E23" i="4"/>
  <c r="E22" i="4" s="1"/>
  <c r="E18" i="4"/>
  <c r="E16" i="4"/>
  <c r="L13" i="3"/>
  <c r="G13" i="5"/>
  <c r="G12" i="5" s="1"/>
  <c r="E49" i="4"/>
  <c r="E47" i="4"/>
  <c r="E44" i="4"/>
  <c r="E40" i="4"/>
  <c r="E38" i="4"/>
  <c r="N67" i="3"/>
  <c r="N38" i="3"/>
  <c r="J116" i="3"/>
  <c r="J115" i="3" s="1"/>
  <c r="J113" i="3"/>
  <c r="J111" i="3"/>
  <c r="J108" i="3"/>
  <c r="J104" i="3"/>
  <c r="J103" i="3" s="1"/>
  <c r="J101" i="3"/>
  <c r="J100" i="3" s="1"/>
  <c r="J82" i="3"/>
  <c r="J75" i="3"/>
  <c r="J70" i="3"/>
  <c r="J67" i="3"/>
  <c r="J65" i="3"/>
  <c r="J54" i="3"/>
  <c r="J53" i="3" s="1"/>
  <c r="J51" i="3"/>
  <c r="J50" i="3" s="1"/>
  <c r="J49" i="3" s="1"/>
  <c r="J43" i="3"/>
  <c r="J41" i="3" s="1"/>
  <c r="J38" i="3"/>
  <c r="J36" i="3"/>
  <c r="J32" i="3"/>
  <c r="J30" i="3" s="1"/>
  <c r="J24" i="3"/>
  <c r="J22" i="3"/>
  <c r="J16" i="3"/>
  <c r="E33" i="1"/>
  <c r="E24" i="1"/>
  <c r="E21" i="1"/>
  <c r="E25" i="1" l="1"/>
  <c r="E37" i="1" s="1"/>
  <c r="J107" i="3"/>
  <c r="J106" i="3" s="1"/>
  <c r="J34" i="3"/>
  <c r="J69" i="3"/>
  <c r="J61" i="3"/>
  <c r="J14" i="3"/>
  <c r="J13" i="3" l="1"/>
  <c r="J58" i="3" s="1"/>
  <c r="J60" i="3"/>
  <c r="J118" i="3" s="1"/>
  <c r="P45" i="3"/>
  <c r="P47" i="3"/>
  <c r="E29" i="4" l="1"/>
  <c r="L28" i="4"/>
  <c r="K28" i="4"/>
  <c r="K20" i="2" l="1"/>
  <c r="K19" i="2"/>
  <c r="K128" i="2"/>
  <c r="G79" i="2" l="1"/>
  <c r="K61" i="2"/>
  <c r="K50" i="2"/>
  <c r="K48" i="2"/>
  <c r="K57" i="2"/>
  <c r="K55" i="2"/>
  <c r="K129" i="2"/>
  <c r="K127" i="2"/>
  <c r="I13" i="5"/>
  <c r="I12" i="5" s="1"/>
  <c r="N32" i="3"/>
  <c r="N24" i="3"/>
  <c r="I22" i="4"/>
  <c r="I49" i="4"/>
  <c r="I47" i="4"/>
  <c r="I44" i="4"/>
  <c r="I40" i="4"/>
  <c r="I38" i="4"/>
  <c r="I27" i="4"/>
  <c r="I25" i="4"/>
  <c r="K25" i="4" s="1"/>
  <c r="I18" i="4"/>
  <c r="I16" i="4"/>
  <c r="G25" i="4"/>
  <c r="G22" i="4"/>
  <c r="L27" i="4" l="1"/>
  <c r="K27" i="4"/>
  <c r="I29" i="4"/>
  <c r="G51" i="4"/>
  <c r="I51" i="4"/>
  <c r="K116" i="2"/>
  <c r="K72" i="2"/>
  <c r="G68" i="2"/>
  <c r="G63" i="2" s="1"/>
  <c r="K112" i="2"/>
  <c r="K113" i="2"/>
  <c r="K77" i="2"/>
  <c r="I68" i="2"/>
  <c r="K117" i="2"/>
  <c r="K110" i="2"/>
  <c r="K81" i="2"/>
  <c r="K75" i="2" l="1"/>
  <c r="K69" i="2"/>
  <c r="K70" i="2"/>
  <c r="K74" i="2" l="1"/>
  <c r="K49" i="4"/>
  <c r="L48" i="4"/>
  <c r="L49" i="4"/>
  <c r="L50" i="4"/>
  <c r="K50" i="4"/>
  <c r="L47" i="4"/>
  <c r="K13" i="5"/>
  <c r="K12" i="5" s="1"/>
  <c r="K48" i="4"/>
  <c r="K46" i="4"/>
  <c r="L46" i="4"/>
  <c r="P114" i="3"/>
  <c r="N113" i="3"/>
  <c r="P113" i="3" s="1"/>
  <c r="P102" i="3"/>
  <c r="P64" i="3"/>
  <c r="N51" i="3"/>
  <c r="N50" i="3" s="1"/>
  <c r="P50" i="3" s="1"/>
  <c r="L53" i="3"/>
  <c r="Q50" i="3" l="1"/>
  <c r="L49" i="3"/>
  <c r="L58" i="3" s="1"/>
  <c r="P55" i="3"/>
  <c r="K68" i="2"/>
  <c r="K47" i="4"/>
  <c r="Q100" i="3"/>
  <c r="E51" i="4"/>
  <c r="P101" i="3"/>
  <c r="N49" i="3"/>
  <c r="Q49" i="3" l="1"/>
  <c r="Q54" i="3"/>
  <c r="P54" i="3"/>
  <c r="P100" i="3"/>
  <c r="P49" i="3"/>
  <c r="P53" i="3"/>
  <c r="Q53" i="3"/>
  <c r="N104" i="3" l="1"/>
  <c r="G33" i="1" l="1"/>
  <c r="I33" i="1"/>
  <c r="L39" i="4" l="1"/>
  <c r="N14" i="5" l="1"/>
  <c r="M14" i="5"/>
  <c r="L34" i="1" l="1"/>
  <c r="K34" i="1"/>
  <c r="L36" i="1"/>
  <c r="K36" i="1"/>
  <c r="N70" i="3" l="1"/>
  <c r="N43" i="3"/>
  <c r="P43" i="3" l="1"/>
  <c r="K121" i="2" l="1"/>
  <c r="K119" i="2"/>
  <c r="N108" i="3"/>
  <c r="N30" i="3"/>
  <c r="P30" i="3" s="1"/>
  <c r="G21" i="1"/>
  <c r="K101" i="2" l="1"/>
  <c r="K102" i="2"/>
  <c r="K18" i="2" l="1"/>
  <c r="K155" i="2" l="1"/>
  <c r="K140" i="2"/>
  <c r="K99" i="2"/>
  <c r="K38" i="4"/>
  <c r="G18" i="4"/>
  <c r="G16" i="4"/>
  <c r="K16" i="4"/>
  <c r="G29" i="4" l="1"/>
  <c r="I63" i="2"/>
  <c r="K84" i="2"/>
  <c r="K25" i="2"/>
  <c r="K13" i="4"/>
  <c r="L35" i="4"/>
  <c r="L44" i="4"/>
  <c r="L22" i="4"/>
  <c r="L18" i="4"/>
  <c r="L16" i="4"/>
  <c r="K44" i="4"/>
  <c r="L40" i="4"/>
  <c r="K22" i="4"/>
  <c r="L25" i="4"/>
  <c r="K18" i="4"/>
  <c r="L13" i="4"/>
  <c r="K66" i="2"/>
  <c r="K40" i="4"/>
  <c r="L38" i="4"/>
  <c r="K35" i="4"/>
  <c r="P105" i="3"/>
  <c r="K83" i="2" l="1"/>
  <c r="L51" i="4"/>
  <c r="K51" i="4"/>
  <c r="L106" i="3"/>
  <c r="N116" i="3"/>
  <c r="N115" i="3" s="1"/>
  <c r="P117" i="3"/>
  <c r="M12" i="5" l="1"/>
  <c r="N12" i="5"/>
  <c r="M13" i="5"/>
  <c r="N13" i="5"/>
  <c r="Q115" i="3"/>
  <c r="P115" i="3"/>
  <c r="P116" i="3" l="1"/>
  <c r="L19" i="1"/>
  <c r="L20" i="1"/>
  <c r="L31" i="1"/>
  <c r="L32" i="1"/>
  <c r="L33" i="1"/>
  <c r="K19" i="1"/>
  <c r="K31" i="1"/>
  <c r="K32" i="1"/>
  <c r="K33" i="1"/>
  <c r="I21" i="1" l="1"/>
  <c r="G24" i="1" l="1"/>
  <c r="L23" i="1" l="1"/>
  <c r="I24" i="1"/>
  <c r="K139" i="2"/>
  <c r="I25" i="1" l="1"/>
  <c r="G25" i="1"/>
  <c r="L21" i="1"/>
  <c r="L24" i="1"/>
  <c r="L22" i="1"/>
  <c r="K22" i="1"/>
  <c r="K138" i="2"/>
  <c r="P71" i="3"/>
  <c r="K23" i="1"/>
  <c r="K20" i="1"/>
  <c r="I37" i="1" l="1"/>
  <c r="L25" i="1"/>
  <c r="K35" i="1"/>
  <c r="L35" i="1"/>
  <c r="L37" i="1"/>
  <c r="K37" i="1"/>
  <c r="K147" i="2"/>
  <c r="K21" i="1"/>
  <c r="K24" i="1"/>
  <c r="K80" i="2" l="1"/>
  <c r="K25" i="1" l="1"/>
  <c r="N16" i="3" l="1"/>
  <c r="P26" i="3" l="1"/>
  <c r="P56" i="3" l="1"/>
  <c r="K120" i="2"/>
  <c r="L60" i="3"/>
  <c r="P70" i="3"/>
  <c r="P24" i="3"/>
  <c r="N103" i="3" l="1"/>
  <c r="P104" i="3"/>
  <c r="Q103" i="3" l="1"/>
  <c r="P103" i="3"/>
  <c r="P16" i="3"/>
  <c r="P28" i="3"/>
  <c r="P33" i="3" l="1"/>
  <c r="P23" i="3"/>
  <c r="P109" i="3"/>
  <c r="P110" i="3"/>
  <c r="P112" i="3"/>
  <c r="P93" i="3"/>
  <c r="P96" i="3"/>
  <c r="P97" i="3"/>
  <c r="P98" i="3"/>
  <c r="P99" i="3"/>
  <c r="P95" i="3"/>
  <c r="P63" i="3"/>
  <c r="P66" i="3"/>
  <c r="P68" i="3"/>
  <c r="P72" i="3"/>
  <c r="P73" i="3"/>
  <c r="P74" i="3"/>
  <c r="P76" i="3"/>
  <c r="P77" i="3"/>
  <c r="P78" i="3"/>
  <c r="P79" i="3"/>
  <c r="P80" i="3"/>
  <c r="P81" i="3"/>
  <c r="P83" i="3"/>
  <c r="P84" i="3"/>
  <c r="P85" i="3"/>
  <c r="P86" i="3"/>
  <c r="P87" i="3"/>
  <c r="P88" i="3"/>
  <c r="P89" i="3"/>
  <c r="P90" i="3"/>
  <c r="P91" i="3"/>
  <c r="P18" i="3"/>
  <c r="P20" i="3"/>
  <c r="K143" i="2" l="1"/>
  <c r="K98" i="2"/>
  <c r="K87" i="2"/>
  <c r="K64" i="2"/>
  <c r="K79" i="2" l="1"/>
  <c r="K63" i="2"/>
  <c r="K26" i="4"/>
  <c r="K39" i="4" l="1"/>
  <c r="K41" i="4"/>
  <c r="L41" i="4"/>
  <c r="K42" i="4"/>
  <c r="L42" i="4"/>
  <c r="K43" i="4"/>
  <c r="L43" i="4"/>
  <c r="K45" i="4"/>
  <c r="L45" i="4"/>
  <c r="L37" i="4"/>
  <c r="K37" i="4"/>
  <c r="L36" i="4"/>
  <c r="K36" i="4"/>
  <c r="K17" i="4"/>
  <c r="L17" i="4"/>
  <c r="K19" i="4"/>
  <c r="L19" i="4"/>
  <c r="K20" i="4"/>
  <c r="L20" i="4"/>
  <c r="K21" i="4"/>
  <c r="L21" i="4"/>
  <c r="K23" i="4"/>
  <c r="L23" i="4"/>
  <c r="K24" i="4"/>
  <c r="L24" i="4"/>
  <c r="L26" i="4"/>
  <c r="L15" i="4"/>
  <c r="K23" i="2" l="1"/>
  <c r="K29" i="4"/>
  <c r="L29" i="4"/>
  <c r="K22" i="2" l="1"/>
  <c r="L118" i="3"/>
  <c r="N111" i="3"/>
  <c r="N107" i="3" s="1"/>
  <c r="N65" i="3"/>
  <c r="P67" i="3"/>
  <c r="N75" i="3"/>
  <c r="N82" i="3"/>
  <c r="N61" i="3" l="1"/>
  <c r="N106" i="3"/>
  <c r="P108" i="3"/>
  <c r="P92" i="3"/>
  <c r="P75" i="3"/>
  <c r="P82" i="3"/>
  <c r="P111" i="3"/>
  <c r="P65" i="3"/>
  <c r="N69" i="3"/>
  <c r="N36" i="3"/>
  <c r="P36" i="3" s="1"/>
  <c r="N22" i="3"/>
  <c r="N14" i="3" s="1"/>
  <c r="Q14" i="3" s="1"/>
  <c r="P61" i="3" l="1"/>
  <c r="N60" i="3"/>
  <c r="Q61" i="3"/>
  <c r="P14" i="3"/>
  <c r="Q69" i="3"/>
  <c r="P69" i="3"/>
  <c r="Q106" i="3"/>
  <c r="P22" i="3"/>
  <c r="P32" i="3"/>
  <c r="N34" i="3"/>
  <c r="P38" i="3"/>
  <c r="N41" i="3"/>
  <c r="P41" i="3" s="1"/>
  <c r="P107" i="3"/>
  <c r="Q107" i="3"/>
  <c r="Q41" i="3" l="1"/>
  <c r="N118" i="3"/>
  <c r="N13" i="3"/>
  <c r="N58" i="3" s="1"/>
  <c r="P106" i="3"/>
  <c r="Q34" i="3"/>
  <c r="P34" i="3"/>
  <c r="Q30" i="3"/>
  <c r="Q60" i="3"/>
  <c r="P60" i="3"/>
  <c r="Q118" i="3" l="1"/>
  <c r="P118" i="3"/>
  <c r="Q13" i="3"/>
  <c r="P13" i="3"/>
  <c r="P58" i="3" l="1"/>
  <c r="Q58" i="3"/>
  <c r="P62" i="3"/>
  <c r="G170" i="2"/>
  <c r="G166" i="2" s="1"/>
  <c r="G165" i="2" s="1"/>
  <c r="G21" i="2" s="1"/>
  <c r="K176" i="2"/>
  <c r="K171" i="2"/>
  <c r="I170" i="2"/>
  <c r="I17" i="2" s="1"/>
  <c r="I166" i="2" l="1"/>
  <c r="K170" i="2"/>
  <c r="K166" i="2" l="1"/>
  <c r="I165" i="2"/>
  <c r="I14" i="2"/>
  <c r="K14" i="2" s="1"/>
  <c r="K17" i="2"/>
  <c r="K142" i="2"/>
  <c r="K165" i="2" l="1"/>
  <c r="I21" i="2"/>
  <c r="K21" i="2" s="1"/>
</calcChain>
</file>

<file path=xl/sharedStrings.xml><?xml version="1.0" encoding="utf-8"?>
<sst xmlns="http://schemas.openxmlformats.org/spreadsheetml/2006/main" count="533" uniqueCount="275">
  <si>
    <t>I. OPĆI DIO</t>
  </si>
  <si>
    <t>PRIHODI I RASHODI</t>
  </si>
  <si>
    <t>6 Prihodi poslovanja</t>
  </si>
  <si>
    <t>7 Prihodi od prodaje nefinancijske imovine</t>
  </si>
  <si>
    <t>PRIHODI UKUPNO</t>
  </si>
  <si>
    <t>3 Rashodi poslovanja</t>
  </si>
  <si>
    <t>4 Rashodi za nabavu nefinancijske imovine</t>
  </si>
  <si>
    <t>RASHODI UKUPNO</t>
  </si>
  <si>
    <t>Razlika – višak/ manjak</t>
  </si>
  <si>
    <t>5 Izdaci za financijsku imovinu i otplate zajmova</t>
  </si>
  <si>
    <t>8 Primici od financijske imovine i zaduživanja</t>
  </si>
  <si>
    <t>9 Preneseni višak prethodnih godina</t>
  </si>
  <si>
    <t>Antuna Gustava Matoša 40, 23000 Zadar</t>
  </si>
  <si>
    <t>Glava: 030-05 SREDNJOŠKOLSKO OBRAZOVANJE</t>
  </si>
  <si>
    <t>Aktivnost: A2204-01 Djelatnost srednjih škola</t>
  </si>
  <si>
    <t>Izvor financiranje: 451 F.P. i dodatni udio u porezu na dohodak</t>
  </si>
  <si>
    <t>Brojčana oznaka i naziv računa prihoda i rashoda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</si>
  <si>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</si>
  <si>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</si>
  <si>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</si>
  <si>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</si>
  <si>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</si>
  <si>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</si>
  <si>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</si>
  <si>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</t>
  </si>
  <si>
    <t>Prihodi od pruženih usluga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</si>
  <si>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</si>
  <si>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</si>
  <si>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</si>
  <si>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</si>
  <si>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VLASTITI IZVORI</t>
  </si>
  <si>
    <t>Pomoći temeljem prijenosa EU sredstava</t>
  </si>
  <si>
    <t>Prihodi od prodaje proizvoda i robe te pruženih usluga i prihodi od donacija</t>
  </si>
  <si>
    <t>Donacije od pravnih i fizičkih osoba izvan općeg proračuna</t>
  </si>
  <si>
    <t>Prihodi iz nadležnog proračuna za financiranje rashoda za nabavu nefinancijske imovine</t>
  </si>
  <si>
    <t>Rezultat poslovanja</t>
  </si>
  <si>
    <t>Višak prihoda</t>
  </si>
  <si>
    <t>Višak/manjak prihoda</t>
  </si>
  <si>
    <t>Indeks</t>
  </si>
  <si>
    <t>PRIHODI POSLOVANJA</t>
  </si>
  <si>
    <t>RASHODI POSLOVANJA</t>
  </si>
  <si>
    <t>SVEUKUPNO RASHODI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</si>
  <si>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</si>
  <si>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</si>
  <si>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</si>
  <si>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</si>
  <si>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</si>
  <si>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</si>
  <si>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</si>
  <si>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</si>
  <si>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</si>
  <si>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</si>
  <si>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</si>
  <si>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</si>
  <si>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</si>
  <si>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</si>
  <si>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</si>
  <si>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</si>
  <si>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</si>
  <si>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</si>
  <si>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</si>
  <si>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</si>
  <si>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</si>
  <si>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</si>
  <si>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</si>
  <si>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</si>
  <si>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</si>
  <si>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</si>
  <si>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</si>
  <si>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</si>
  <si>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</si>
  <si>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</t>
  </si>
  <si>
    <t>Pristojbe i naknade</t>
  </si>
  <si>
    <t>Troškovi sudskih postupaka</t>
  </si>
  <si>
    <t>Rashodi za nabavu proizvedene dugotrajne imovine</t>
  </si>
  <si>
    <t>Postrojenja i oprema</t>
  </si>
  <si>
    <t>Uređaji, strojevi i oprema za ostale namjene</t>
  </si>
  <si>
    <t>Knjige, umjetnička djela i ostale izložbene vrijednosti</t>
  </si>
  <si>
    <t>Knjige</t>
  </si>
  <si>
    <t>RASHODI ZA NABAVU NEFINANCIJSKE IMOVINE</t>
  </si>
  <si>
    <t>Ostale naknade troškova zaposlenima</t>
  </si>
  <si>
    <t>Materijal i sirovine</t>
  </si>
  <si>
    <t>Komunalne usluge</t>
  </si>
  <si>
    <t>Usluge promidžbe i informiranja</t>
  </si>
  <si>
    <t>Uredska oprema i namještaj</t>
  </si>
  <si>
    <t>Naknade za prijevoz na posao i s posla</t>
  </si>
  <si>
    <t>Materijali  i sirovine</t>
  </si>
  <si>
    <t>Materijali i dijelovi za tekuće i investicijsko održavanje</t>
  </si>
  <si>
    <t>Doprinosi za OZO</t>
  </si>
  <si>
    <t>Aktivnost: A2204-07 Administracija i upravljanje</t>
  </si>
  <si>
    <t>Izvor financiranje: 51036 Državni proračun</t>
  </si>
  <si>
    <t>Novčana nak. posl. zbog nezapošljavanje osobe s inv.</t>
  </si>
  <si>
    <t>Program: 2204 SREDNJE ŠKOLSTVO – STANDARD</t>
  </si>
  <si>
    <t>Program: 2205 SREDNJE ŠKOLSTVO – IZNAD STANDARD</t>
  </si>
  <si>
    <t>Aktivnost: A2205-01 Javne potrebe u prosvjeti - korisnici u SŠ</t>
  </si>
  <si>
    <t>Izvor financiranje: 110 Opći prihodi i primici</t>
  </si>
  <si>
    <t>Aktivnost: A2205-12 Podizanje kvalitete i standarda u školstvu</t>
  </si>
  <si>
    <t>Knjge</t>
  </si>
  <si>
    <t>Izvor financiranje: 41 Prihodi za posebne namjene</t>
  </si>
  <si>
    <t>Izvor financiranje: 31 Vlastiti prihodi - korisnici</t>
  </si>
  <si>
    <t>Izvor financiranje: 42035 Višak prihoda poslovanja</t>
  </si>
  <si>
    <t>Izvor financiranje: 51037 Državni proračun</t>
  </si>
  <si>
    <t>Aktivnost: A2205-22 Natjecanja i smotre u SŠ</t>
  </si>
  <si>
    <t>Ostali nespomenuti rashodi</t>
  </si>
  <si>
    <t>Program: 4306 NACIONALNI EU PROJEKTI</t>
  </si>
  <si>
    <t>Naknade za prijevoz</t>
  </si>
  <si>
    <t xml:space="preserve">Prihodi za posebne namjene </t>
  </si>
  <si>
    <t>UKUPNO</t>
  </si>
  <si>
    <t>Opći prihodi i primici</t>
  </si>
  <si>
    <t>Višak/manjak prihoda - ZŽ</t>
  </si>
  <si>
    <t>Vlastiti prihodi - korisnici</t>
  </si>
  <si>
    <t>Višak/manjak prihoda korisnici</t>
  </si>
  <si>
    <t>F.P. i dod. udio u por. na dohodak</t>
  </si>
  <si>
    <t>Državni proračun</t>
  </si>
  <si>
    <t>Pomoći iz inozemstva</t>
  </si>
  <si>
    <t>Tekuće donacije - korisnici</t>
  </si>
  <si>
    <t>PRIHODI PO IZVORIMA FINANCIRANJA</t>
  </si>
  <si>
    <t>šifra:</t>
  </si>
  <si>
    <t>Izvor financiranja:</t>
  </si>
  <si>
    <t>IF 54</t>
  </si>
  <si>
    <t>IF 11</t>
  </si>
  <si>
    <t>Prijenosi između proračunskih korisnika istog proračuna</t>
  </si>
  <si>
    <t>Tekući prijenosi između proračunskih korisnika istog proračuna temeljem prijenosa EU sredstava</t>
  </si>
  <si>
    <t>Tekući prijenosi između proračunskih korisnika istog proračuna</t>
  </si>
  <si>
    <t>Ostali rashodi</t>
  </si>
  <si>
    <t>Dopirnosi na plaće</t>
  </si>
  <si>
    <t>Uredski materijal</t>
  </si>
  <si>
    <t>Aktivnost: A2205-34 Projekt e-škole</t>
  </si>
  <si>
    <t>Intelektualne usluge</t>
  </si>
  <si>
    <t>Aktivnost: A2205-37 Zalihe menstrualnih higijenskih potrepština</t>
  </si>
  <si>
    <t>Izvor financiranje: 511904 Državni proračun</t>
  </si>
  <si>
    <t>A. SAŽETAK RAČUNA PRIHODA I RASHODA</t>
  </si>
  <si>
    <t>B. SAŽETAK RAČUNA FINANCIRANJA</t>
  </si>
  <si>
    <t>UKUPNO PRIHODI + VIŠAK KORIŠTEN ZA POKRIĆE RASHODA</t>
  </si>
  <si>
    <t>Rashodi za dodatna ulaganja na nefinancijskoj imovini</t>
  </si>
  <si>
    <t>Dodatna ulaganja na građevinskim objektima</t>
  </si>
  <si>
    <t>Brojčana oznaka i naziv</t>
  </si>
  <si>
    <t>09</t>
  </si>
  <si>
    <t>Obrazovanje</t>
  </si>
  <si>
    <t>Srednjoškolsko obrazovanje</t>
  </si>
  <si>
    <t>092</t>
  </si>
  <si>
    <t>0922</t>
  </si>
  <si>
    <t>Više srednjoškolsko obrazovanje</t>
  </si>
  <si>
    <t>SAŽETAK RAČUNA PRIHODA I RASHODA I RAČUNA FINANCIRANJA</t>
  </si>
  <si>
    <t xml:space="preserve">I. OPĆI DIO </t>
  </si>
  <si>
    <t>GODIŠNJI IZVJEŠTAJ O PRIHODIMA I RASHODIMA PREMA EKONOMSKOJ KLASIFIKACIJI</t>
  </si>
  <si>
    <t>RAČUN PRIHODA I RASHODA</t>
  </si>
  <si>
    <t>BROJČANA OZNAKA I NAZIV</t>
  </si>
  <si>
    <t>IZVJEŠTAJ O PRIHODIMA I RASHODIMA PREMA IZVORIMA FINANCIRANJA</t>
  </si>
  <si>
    <t>IZVJEŠTAJ O RASHODIMA PREMA FUNKCIJSKOJ KLASIFIKACIJI</t>
  </si>
  <si>
    <t>II. POSEBNI DIO</t>
  </si>
  <si>
    <t>IZVJEŠTAJ O IZVRŠENJU FINANCIJSKOG PLANA 2023. PREMA EKONOMSKOJ KLASIFIKACIJI, PROGRAMIMA TE IZVORIMA FINANCIRANJA</t>
  </si>
  <si>
    <t>Tekuće donacije u naravi</t>
  </si>
  <si>
    <t>Vlatiti prihodi</t>
  </si>
  <si>
    <t>Pomoći</t>
  </si>
  <si>
    <t>Donacije</t>
  </si>
  <si>
    <t>Brojčana oznaka i naziv funkcijske klasifikacije</t>
  </si>
  <si>
    <t>RASHODI PO IZVORIMA FINANCIRANJA</t>
  </si>
  <si>
    <t>Materijal za hig. potrebe u njegu</t>
  </si>
  <si>
    <t>Izvori financiranja ukupno</t>
  </si>
  <si>
    <t>Vlastiti prihodi</t>
  </si>
  <si>
    <t>Prihodi za posebne namjene</t>
  </si>
  <si>
    <t>II. POSEBNI IZVJEŠTAJI</t>
  </si>
  <si>
    <t>IZVJEŠTAJ O KORIŠTENJU SREDSTAVA FONDOVA EUROPSKE UNIJE</t>
  </si>
  <si>
    <t>Ostali fondovi EU</t>
  </si>
  <si>
    <t>IZVJEŠTAJ O STANJU POTRAŽIVANJA I DOSPJELIH OBVEZA TE O STANJU POTENCIJALNIH OBVEZA PO OSNOVI SUDSKIH SPOROVA</t>
  </si>
  <si>
    <t>Opis</t>
  </si>
  <si>
    <t>1.</t>
  </si>
  <si>
    <t>2.</t>
  </si>
  <si>
    <t>3.</t>
  </si>
  <si>
    <t>Od početka provedbe projekta</t>
  </si>
  <si>
    <t>RB</t>
  </si>
  <si>
    <t>Naziv projekta</t>
  </si>
  <si>
    <t>Fond financiranja projekta</t>
  </si>
  <si>
    <t>Program financiranja projekta</t>
  </si>
  <si>
    <t>Datum početka provedbe projekta</t>
  </si>
  <si>
    <t>Datum završetka provedbe projekta</t>
  </si>
  <si>
    <t>Ugovorena vrijednost projekta</t>
  </si>
  <si>
    <t>Ukupno uplaćena sredstva od početka provedbe projekta do 31.12.2023.</t>
  </si>
  <si>
    <t>Ukupno isplaćena sredstva od početka provedbe projekta do 31.12.2023.</t>
  </si>
  <si>
    <t xml:space="preserve">Stanje obveza </t>
  </si>
  <si>
    <t xml:space="preserve">Stanje potraživanja </t>
  </si>
  <si>
    <t>Nenaplaćena potraživanja</t>
  </si>
  <si>
    <t>Dospjele obveze</t>
  </si>
  <si>
    <t>Potencijalne obveze po osnovi sudskih sporova</t>
  </si>
  <si>
    <t>Ostvarenje/ izvršenje 2024.</t>
  </si>
  <si>
    <t>Izvršenje 2024.</t>
  </si>
  <si>
    <t>IF 12</t>
  </si>
  <si>
    <t>Izvor financiranje: 540231 Pomoći iz inozemstva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</si>
  <si>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</si>
  <si>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</si>
  <si>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</si>
  <si>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</si>
  <si>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</si>
  <si>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UKUPNO PRIHODI</t>
  </si>
  <si>
    <t>Ekonomsko birotehnička i trgovačka škola  Zadar</t>
  </si>
  <si>
    <t>OIB: 04405149472 // RKP: 18848</t>
  </si>
  <si>
    <t>PRIHODI OD PRODAJE NEFINANCIJSKE IMOVINE</t>
  </si>
  <si>
    <t>Prihodi od prodaje proizvedene dugotrajne imovine</t>
  </si>
  <si>
    <t>Prihodi od prodaje građevinskih objekata</t>
  </si>
  <si>
    <t>Plaće za prekovremenio rad</t>
  </si>
  <si>
    <t>Naknade građanima i kućanstvima na temelju osiguranja i druge nakanade</t>
  </si>
  <si>
    <t>Ostale naknade građanima i kućanstvima iz proračuna</t>
  </si>
  <si>
    <t>Naknade građanima i kućanstvima u novcu</t>
  </si>
  <si>
    <t>Nematerijalna proizvedena movina</t>
  </si>
  <si>
    <t>Ostala nematerijalna proizvedena imovina</t>
  </si>
  <si>
    <t>Prihodi od prodaje nefianncijske imovine</t>
  </si>
  <si>
    <t>Aktivnost: A2205-09 Obrazovanje odraslih- korisnici SŠ</t>
  </si>
  <si>
    <t>Izvor financiranja: 31 Vlastiti prihodi</t>
  </si>
  <si>
    <t>Izvor financiranja: 42035 Višak prihodi SŠ</t>
  </si>
  <si>
    <t>Ostale najamnine i zakupnine</t>
  </si>
  <si>
    <t>Plaće po sudskim presudama</t>
  </si>
  <si>
    <t>Uređaji</t>
  </si>
  <si>
    <t>Izvor financiranje: 61 Tekuće donacije</t>
  </si>
  <si>
    <t>Dnevnice za službeni put u zemlji</t>
  </si>
  <si>
    <t>Izvor financiranje: 7104 Prihodi od prodaje nefinancijske imovine</t>
  </si>
  <si>
    <t>Pomoć osobama s invaliditetom</t>
  </si>
  <si>
    <t>EKONOMSKO BIROTEHNIČKA I TRGOVAČKA ŠKOLA ZADAR</t>
  </si>
  <si>
    <t>Naknade članovima povjerenstva</t>
  </si>
  <si>
    <t>Tekući projekt: T4307-52 Projekt Erasmus+2024-1-KA121 EBTŠ</t>
  </si>
  <si>
    <t>Dnevnice za službeni put u inozemstvu</t>
  </si>
  <si>
    <t>EKONOMSKO BIROTEHNIČKA I TRGOVAČA ŠKOLA ZADAR- 18848</t>
  </si>
  <si>
    <t>Na temelju Zakona o proračunu ("Narodne novine" broj 144/21) i Pravilnika o polugodišnjem i godišnjem izvještaju o izvršenju proračuna i financijskog plana ("Narodne novine" broj 85/23) EKONOMSKO BIROTEHNIČKA I TRGOVAČA ŠKOLA ZADAR podnosi školskom odboru:</t>
  </si>
  <si>
    <t>GODIŠNJI IZVJEŠTAJ O IZVRŠENJU FINANCIJSKOG PLANA EKONOMSKO BIROTEHNIČKE I TRGOVAČKE ŠKOLE ZADAR ZA 2025. GODINU</t>
  </si>
  <si>
    <t>Ostvarenje/ izvršenje 2025.</t>
  </si>
  <si>
    <t>Izvršenje 2025.</t>
  </si>
  <si>
    <t>Za 2025. godinu</t>
  </si>
  <si>
    <t>Stanja na dan 31.12.2025. godine</t>
  </si>
  <si>
    <t>STANJE NA 31. 12. 2025.</t>
  </si>
  <si>
    <t>Stambeni objekti</t>
  </si>
  <si>
    <t>096</t>
  </si>
  <si>
    <t>Dodatne usluge u obrazovanju</t>
  </si>
  <si>
    <t>0960</t>
  </si>
  <si>
    <t>Plaće za prekovremeni rad</t>
  </si>
  <si>
    <t>Ostale naknade iz proračuna u novcu</t>
  </si>
  <si>
    <t>Tekući projekt: T4306-43 Projekt Erasmus+ KA121-VET-00020606848 EBTŠ</t>
  </si>
  <si>
    <t>Naknade građanima i kućanstvima na temelju osiguranja i druge naknade</t>
  </si>
  <si>
    <t>Tekući projekt: T4307-64 Projekt Erasmus+2025-1-KA121-000338475 EBTŠ</t>
  </si>
  <si>
    <t>Tekući projekt: T2204-04 Hitne intervencije u srednjim školama</t>
  </si>
  <si>
    <t>Izvor financiranje: 121 Višak prihoda - ZŽ</t>
  </si>
  <si>
    <t>Tekući projekt: T2205-35: Projektna dokumentacija - javne pitrebe u SŠ</t>
  </si>
  <si>
    <t>Izvor financiranja: 110 Opći prihodi i primici</t>
  </si>
  <si>
    <t xml:space="preserve">Izvor financiranje: 12154, 12151, 110, 51038, 540099 - </t>
  </si>
  <si>
    <t xml:space="preserve">Višak prihoda - ZŽ, Opći prihodi i primici Državni proračun, </t>
  </si>
  <si>
    <t>Tekući projekt: T4306-03 Inkluzija – korak bliže društvu bez prepreka faza V.</t>
  </si>
  <si>
    <t>IF 51</t>
  </si>
  <si>
    <t>Kapitalni projekt: K4306-43 Projekt SŠ Ekonom.biroteh. NPOO</t>
  </si>
  <si>
    <t>Izvor financiranje: 540300 Pomoći iz inozemstva</t>
  </si>
  <si>
    <t>Rahodi za dodatna ulaganja na nefinancijskoj imovini</t>
  </si>
  <si>
    <t>Izvor financiranje: 540271Pomoći iz inozemstva</t>
  </si>
  <si>
    <t>RAČUN FINANCIRANJA</t>
  </si>
  <si>
    <t>IZVJEŠTAJ RAČUNA FINANCIRANJA PREMA EKONOMSKOJ KLASIFIKACIJI</t>
  </si>
  <si>
    <t>Brojčana oznaka i naziv računa financiranja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</si>
  <si>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</si>
  <si>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</si>
  <si>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</si>
  <si>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</si>
  <si>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</si>
  <si>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IZVJEŠTAJ RAČUNA FINANCIRANJA PREMA IZVORIMA FINANCIRANJA</t>
  </si>
  <si>
    <t>UKUPNO PRIMICI:</t>
  </si>
  <si>
    <t>. . .</t>
  </si>
  <si>
    <t>UKUPNO IZDACI:</t>
  </si>
  <si>
    <t>Manjak prihoda</t>
  </si>
  <si>
    <t>Izvor financiranje: 5103035 Državni proračun</t>
  </si>
  <si>
    <t>4/3</t>
  </si>
  <si>
    <t>4/2</t>
  </si>
  <si>
    <t>3/2</t>
  </si>
  <si>
    <t>Planirano</t>
  </si>
  <si>
    <t>Erasmus+ KA121-VET-00020606848</t>
  </si>
  <si>
    <t>ERASMUS+</t>
  </si>
  <si>
    <t>Erasmus+ 2024-1-KA121 EBTŠ</t>
  </si>
  <si>
    <t>Erasmus+ 2025-1-KA121-000338475</t>
  </si>
  <si>
    <t>Program:4307 MEĐUNARODNI EU PROJEKTI</t>
  </si>
  <si>
    <t>Prihodi projekta - 2025. godina</t>
  </si>
  <si>
    <t>Rashodi projekta - 2025.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</si>
</sst>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0" fillId="0" borderId="0" xfId="0" applyNumberFormat="1"/>
    <xf numFmtId="0" fontId="6" fillId="2" borderId="21" xfId="0" applyFont="1" applyFill="1" applyBorder="1" applyAlignment="1">
      <alignment horizontal="right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4" fontId="0" fillId="0" borderId="0" xfId="0" applyNumberFormat="1" applyAlignment="1">
      <alignment horizontal="center"/>
    </xf>
    <xf numFmtId="4" fontId="1" fillId="0" borderId="21" xfId="0" applyNumberFormat="1" applyFon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4" fontId="1" fillId="6" borderId="23" xfId="0" applyNumberFormat="1" applyFont="1" applyFill="1" applyBorder="1" applyAlignment="1">
      <alignment horizontal="right" vertical="center"/>
    </xf>
    <xf numFmtId="4" fontId="1" fillId="5" borderId="38" xfId="0" applyNumberFormat="1" applyFont="1" applyFill="1" applyBorder="1" applyAlignment="1">
      <alignment horizontal="right" vertical="center"/>
    </xf>
    <xf numFmtId="4" fontId="1" fillId="5" borderId="27" xfId="0" applyNumberFormat="1" applyFont="1" applyFill="1" applyBorder="1" applyAlignment="1">
      <alignment horizontal="right" vertical="center"/>
    </xf>
    <xf numFmtId="4" fontId="1" fillId="3" borderId="20" xfId="0" applyNumberFormat="1" applyFont="1" applyFill="1" applyBorder="1" applyAlignment="1">
      <alignment horizontal="right" vertical="center"/>
    </xf>
    <xf numFmtId="4" fontId="1" fillId="0" borderId="31" xfId="0" applyNumberFormat="1" applyFont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 applyAlignment="1">
      <alignment horizontal="center"/>
    </xf>
    <xf numFmtId="4" fontId="1" fillId="3" borderId="21" xfId="0" applyNumberFormat="1" applyFont="1" applyFill="1" applyBorder="1" applyAlignment="1">
      <alignment horizontal="right"/>
    </xf>
    <xf numFmtId="4" fontId="0" fillId="0" borderId="21" xfId="0" applyNumberFormat="1" applyBorder="1" applyAlignment="1">
      <alignment horizontal="right"/>
    </xf>
    <xf numFmtId="4" fontId="1" fillId="0" borderId="22" xfId="0" applyNumberFormat="1" applyFont="1" applyBorder="1" applyAlignment="1">
      <alignment horizontal="right"/>
    </xf>
    <xf numFmtId="4" fontId="0" fillId="0" borderId="26" xfId="0" applyNumberFormat="1" applyBorder="1" applyAlignment="1">
      <alignment horizontal="right"/>
    </xf>
    <xf numFmtId="49" fontId="3" fillId="3" borderId="32" xfId="0" applyNumberFormat="1" applyFont="1" applyFill="1" applyBorder="1" applyAlignment="1">
      <alignment horizontal="right" vertical="center"/>
    </xf>
    <xf numFmtId="0" fontId="3" fillId="3" borderId="33" xfId="0" applyFont="1" applyFill="1" applyBorder="1" applyAlignment="1">
      <alignment vertical="center"/>
    </xf>
    <xf numFmtId="4" fontId="0" fillId="4" borderId="21" xfId="0" applyNumberFormat="1" applyFont="1" applyFill="1" applyBorder="1" applyAlignment="1">
      <alignment horizontal="right" vertical="center"/>
    </xf>
    <xf numFmtId="4" fontId="0" fillId="0" borderId="26" xfId="0" applyNumberFormat="1" applyBorder="1" applyAlignment="1">
      <alignment horizontal="right" vertical="center"/>
    </xf>
    <xf numFmtId="0" fontId="1" fillId="0" borderId="0" xfId="0" applyFont="1" applyAlignment="1"/>
    <xf numFmtId="4" fontId="0" fillId="0" borderId="26" xfId="0" applyNumberFormat="1" applyBorder="1" applyAlignment="1">
      <alignment horizontal="right" vertical="center"/>
    </xf>
    <xf numFmtId="0" fontId="1" fillId="7" borderId="43" xfId="0" applyFont="1" applyFill="1" applyBorder="1" applyAlignment="1">
      <alignment vertical="center"/>
    </xf>
    <xf numFmtId="0" fontId="1" fillId="7" borderId="40" xfId="0" applyFont="1" applyFill="1" applyBorder="1" applyAlignment="1">
      <alignment vertical="center"/>
    </xf>
    <xf numFmtId="0" fontId="3" fillId="0" borderId="32" xfId="0" applyFont="1" applyBorder="1" applyAlignment="1">
      <alignment vertical="center"/>
    </xf>
    <xf numFmtId="4" fontId="1" fillId="0" borderId="20" xfId="0" applyNumberFormat="1" applyFont="1" applyBorder="1" applyAlignment="1">
      <alignment horizontal="right" vertical="center"/>
    </xf>
    <xf numFmtId="0" fontId="1" fillId="7" borderId="39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/>
    <xf numFmtId="0" fontId="3" fillId="4" borderId="20" xfId="0" applyFont="1" applyFill="1" applyBorder="1" applyAlignment="1">
      <alignment vertical="center"/>
    </xf>
    <xf numFmtId="0" fontId="3" fillId="4" borderId="21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3" fillId="4" borderId="34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4" fontId="1" fillId="0" borderId="26" xfId="0" applyNumberFormat="1" applyFont="1" applyBorder="1" applyAlignment="1">
      <alignment horizontal="right" vertical="center"/>
    </xf>
    <xf numFmtId="4" fontId="1" fillId="4" borderId="2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4" fontId="3" fillId="3" borderId="26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 applyAlignment="1">
      <alignment horizontal="right" vertical="center"/>
    </xf>
    <xf numFmtId="4" fontId="3" fillId="3" borderId="21" xfId="0" applyNumberFormat="1" applyFont="1" applyFill="1" applyBorder="1" applyAlignment="1">
      <alignment horizontal="right" vertical="center"/>
    </xf>
    <xf numFmtId="4" fontId="2" fillId="4" borderId="27" xfId="0" applyNumberFormat="1" applyFont="1" applyFill="1" applyBorder="1" applyAlignment="1">
      <alignment horizontal="right" vertical="center"/>
    </xf>
    <xf numFmtId="4" fontId="3" fillId="2" borderId="31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right" vertical="center"/>
    </xf>
    <xf numFmtId="4" fontId="3" fillId="0" borderId="21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3" fillId="3" borderId="3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49" fontId="5" fillId="0" borderId="12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right" vertical="center"/>
    </xf>
    <xf numFmtId="4" fontId="3" fillId="4" borderId="21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 applyAlignment="1">
      <alignment horizontal="right" vertical="center"/>
    </xf>
    <xf numFmtId="4" fontId="2" fillId="4" borderId="27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4" fontId="1" fillId="0" borderId="18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44" xfId="0" applyFont="1" applyFill="1" applyBorder="1" applyAlignment="1">
      <alignment vertical="center"/>
    </xf>
    <xf numFmtId="0" fontId="0" fillId="0" borderId="44" xfId="0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4" fontId="1" fillId="4" borderId="18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3" fillId="3" borderId="35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0" fontId="3" fillId="3" borderId="37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35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4" fontId="1" fillId="3" borderId="38" xfId="0" applyNumberFormat="1" applyFont="1" applyFill="1" applyBorder="1" applyAlignment="1">
      <alignment horizontal="right" vertical="center"/>
    </xf>
    <xf numFmtId="4" fontId="1" fillId="3" borderId="27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4" fontId="0" fillId="4" borderId="22" xfId="0" applyNumberFormat="1" applyFont="1" applyFill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4" fontId="0" fillId="0" borderId="25" xfId="0" applyNumberFormat="1" applyBorder="1" applyAlignment="1">
      <alignment horizontal="right" vertical="center"/>
    </xf>
    <xf numFmtId="4" fontId="1" fillId="3" borderId="37" xfId="0" applyNumberFormat="1" applyFont="1" applyFill="1" applyBorder="1" applyAlignment="1">
      <alignment horizontal="right" vertical="center"/>
    </xf>
    <xf numFmtId="4" fontId="1" fillId="0" borderId="25" xfId="0" applyNumberFormat="1" applyFon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1" fillId="5" borderId="37" xfId="0" applyNumberFormat="1" applyFont="1" applyFill="1" applyBorder="1" applyAlignment="1">
      <alignment horizontal="right" vertical="center"/>
    </xf>
    <xf numFmtId="4" fontId="1" fillId="3" borderId="27" xfId="0" applyNumberFormat="1" applyFont="1" applyFill="1" applyBorder="1" applyAlignment="1">
      <alignment vertical="center"/>
    </xf>
    <xf numFmtId="4" fontId="1" fillId="3" borderId="30" xfId="0" applyNumberFormat="1" applyFont="1" applyFill="1" applyBorder="1" applyAlignment="1">
      <alignment horizontal="right" vertical="center"/>
    </xf>
    <xf numFmtId="4" fontId="0" fillId="0" borderId="26" xfId="0" applyNumberFormat="1" applyFont="1" applyBorder="1" applyAlignment="1">
      <alignment horizontal="right" vertical="center"/>
    </xf>
    <xf numFmtId="4" fontId="0" fillId="4" borderId="18" xfId="0" applyNumberFormat="1" applyFont="1" applyFill="1" applyBorder="1" applyAlignment="1">
      <alignment horizontal="right" vertical="center"/>
    </xf>
    <xf numFmtId="4" fontId="1" fillId="4" borderId="25" xfId="0" applyNumberFormat="1" applyFont="1" applyFill="1" applyBorder="1" applyAlignment="1">
      <alignment horizontal="right" vertical="center"/>
    </xf>
    <xf numFmtId="4" fontId="0" fillId="0" borderId="18" xfId="0" applyNumberFormat="1" applyFont="1" applyBorder="1" applyAlignment="1">
      <alignment horizontal="right" vertical="center"/>
    </xf>
    <xf numFmtId="4" fontId="13" fillId="0" borderId="21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0" fillId="4" borderId="37" xfId="0" applyNumberFormat="1" applyFont="1" applyFill="1" applyBorder="1" applyAlignment="1">
      <alignment horizontal="right" vertical="center"/>
    </xf>
    <xf numFmtId="4" fontId="0" fillId="0" borderId="22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4" fontId="0" fillId="0" borderId="26" xfId="0" applyNumberFormat="1" applyFill="1" applyBorder="1" applyAlignment="1">
      <alignment horizontal="right" vertical="center"/>
    </xf>
    <xf numFmtId="4" fontId="1" fillId="4" borderId="26" xfId="0" applyNumberFormat="1" applyFont="1" applyFill="1" applyBorder="1" applyAlignment="1">
      <alignment horizontal="right" vertical="center"/>
    </xf>
    <xf numFmtId="4" fontId="1" fillId="3" borderId="38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5" fillId="4" borderId="12" xfId="0" applyNumberFormat="1" applyFont="1" applyFill="1" applyBorder="1" applyAlignment="1" applyProtection="1">
      <alignment horizontal="center" vertical="center" wrapText="1"/>
    </xf>
    <xf numFmtId="0" fontId="15" fillId="4" borderId="18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2" xfId="0" applyBorder="1"/>
    <xf numFmtId="0" fontId="3" fillId="0" borderId="33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4" fontId="2" fillId="4" borderId="21" xfId="0" applyNumberFormat="1" applyFont="1" applyFill="1" applyBorder="1" applyAlignment="1">
      <alignment horizontal="right" vertical="center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4" fontId="2" fillId="4" borderId="27" xfId="0" applyNumberFormat="1" applyFont="1" applyFill="1" applyBorder="1" applyAlignment="1">
      <alignment horizontal="right" vertical="center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4" fontId="1" fillId="3" borderId="27" xfId="0" applyNumberFormat="1" applyFont="1" applyFill="1" applyBorder="1" applyAlignment="1">
      <alignment horizontal="right" vertical="center"/>
    </xf>
    <xf numFmtId="0" fontId="2" fillId="0" borderId="52" xfId="0" applyFont="1" applyBorder="1" applyAlignment="1">
      <alignment vertical="center"/>
    </xf>
    <xf numFmtId="4" fontId="0" fillId="0" borderId="27" xfId="0" applyNumberFormat="1" applyBorder="1" applyAlignment="1">
      <alignment horizontal="right" vertical="center"/>
    </xf>
    <xf numFmtId="49" fontId="5" fillId="0" borderId="16" xfId="0" applyNumberFormat="1" applyFont="1" applyBorder="1" applyAlignment="1">
      <alignment horizontal="right" vertical="center"/>
    </xf>
    <xf numFmtId="0" fontId="5" fillId="0" borderId="4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4" fontId="0" fillId="0" borderId="2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0" fontId="3" fillId="0" borderId="55" xfId="0" applyFont="1" applyBorder="1" applyAlignment="1">
      <alignment vertical="center"/>
    </xf>
    <xf numFmtId="0" fontId="4" fillId="2" borderId="22" xfId="0" applyFont="1" applyFill="1" applyBorder="1" applyAlignment="1">
      <alignment horizontal="center"/>
    </xf>
    <xf numFmtId="4" fontId="1" fillId="3" borderId="27" xfId="0" applyNumberFormat="1" applyFont="1" applyFill="1" applyBorder="1" applyAlignment="1">
      <alignment horizontal="right" vertical="center"/>
    </xf>
    <xf numFmtId="0" fontId="0" fillId="0" borderId="20" xfId="0" applyBorder="1" applyAlignment="1">
      <alignment wrapText="1"/>
    </xf>
    <xf numFmtId="14" fontId="0" fillId="0" borderId="20" xfId="0" applyNumberFormat="1" applyBorder="1"/>
    <xf numFmtId="4" fontId="0" fillId="0" borderId="20" xfId="0" applyNumberFormat="1" applyBorder="1"/>
    <xf numFmtId="4" fontId="0" fillId="8" borderId="20" xfId="0" applyNumberFormat="1" applyFill="1" applyBorder="1"/>
    <xf numFmtId="4" fontId="0" fillId="9" borderId="20" xfId="0" applyNumberFormat="1" applyFill="1" applyBorder="1"/>
    <xf numFmtId="4" fontId="0" fillId="10" borderId="20" xfId="0" applyNumberFormat="1" applyFill="1" applyBorder="1"/>
    <xf numFmtId="0" fontId="0" fillId="0" borderId="21" xfId="0" applyBorder="1" applyAlignment="1">
      <alignment wrapText="1"/>
    </xf>
    <xf numFmtId="14" fontId="0" fillId="0" borderId="21" xfId="0" applyNumberFormat="1" applyBorder="1"/>
    <xf numFmtId="4" fontId="0" fillId="0" borderId="21" xfId="0" applyNumberFormat="1" applyBorder="1"/>
    <xf numFmtId="4" fontId="0" fillId="8" borderId="21" xfId="0" applyNumberFormat="1" applyFill="1" applyBorder="1"/>
    <xf numFmtId="4" fontId="0" fillId="9" borderId="21" xfId="0" applyNumberFormat="1" applyFill="1" applyBorder="1"/>
    <xf numFmtId="4" fontId="0" fillId="10" borderId="21" xfId="0" applyNumberFormat="1" applyFill="1" applyBorder="1"/>
    <xf numFmtId="0" fontId="0" fillId="0" borderId="24" xfId="0" applyBorder="1"/>
    <xf numFmtId="0" fontId="0" fillId="0" borderId="22" xfId="0" applyBorder="1" applyAlignment="1">
      <alignment wrapText="1"/>
    </xf>
    <xf numFmtId="14" fontId="0" fillId="0" borderId="22" xfId="0" applyNumberFormat="1" applyBorder="1"/>
    <xf numFmtId="4" fontId="0" fillId="0" borderId="22" xfId="0" applyNumberFormat="1" applyBorder="1"/>
    <xf numFmtId="4" fontId="0" fillId="8" borderId="22" xfId="0" applyNumberFormat="1" applyFill="1" applyBorder="1"/>
    <xf numFmtId="4" fontId="0" fillId="9" borderId="22" xfId="0" applyNumberFormat="1" applyFill="1" applyBorder="1"/>
    <xf numFmtId="4" fontId="0" fillId="10" borderId="22" xfId="0" applyNumberFormat="1" applyFill="1" applyBorder="1"/>
    <xf numFmtId="4" fontId="1" fillId="3" borderId="12" xfId="0" applyNumberFormat="1" applyFont="1" applyFill="1" applyBorder="1" applyAlignment="1">
      <alignment horizontal="center"/>
    </xf>
    <xf numFmtId="4" fontId="1" fillId="3" borderId="18" xfId="0" applyNumberFormat="1" applyFont="1" applyFill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0" fillId="4" borderId="21" xfId="0" applyNumberFormat="1" applyFill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4" fontId="0" fillId="0" borderId="12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4" fontId="1" fillId="0" borderId="1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" fontId="0" fillId="0" borderId="1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5" fillId="0" borderId="21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right" vertical="center"/>
    </xf>
    <xf numFmtId="4" fontId="2" fillId="0" borderId="26" xfId="0" applyNumberFormat="1" applyFont="1" applyBorder="1" applyAlignment="1">
      <alignment horizontal="right" vertical="center"/>
    </xf>
    <xf numFmtId="4" fontId="2" fillId="4" borderId="21" xfId="0" applyNumberFormat="1" applyFont="1" applyFill="1" applyBorder="1" applyAlignment="1">
      <alignment horizontal="right" vertical="center"/>
    </xf>
    <xf numFmtId="4" fontId="2" fillId="4" borderId="27" xfId="0" applyNumberFormat="1" applyFont="1" applyFill="1" applyBorder="1" applyAlignment="1">
      <alignment horizontal="right" vertical="center"/>
    </xf>
    <xf numFmtId="4" fontId="2" fillId="4" borderId="26" xfId="0" applyNumberFormat="1" applyFont="1" applyFill="1" applyBorder="1" applyAlignment="1">
      <alignment horizontal="right" vertical="center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4" fontId="5" fillId="0" borderId="35" xfId="0" applyNumberFormat="1" applyFont="1" applyBorder="1" applyAlignment="1">
      <alignment horizontal="center" vertical="center" wrapText="1"/>
    </xf>
    <xf numFmtId="4" fontId="5" fillId="0" borderId="37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4" fontId="11" fillId="0" borderId="35" xfId="0" applyNumberFormat="1" applyFont="1" applyBorder="1" applyAlignment="1">
      <alignment horizontal="center" vertical="center" wrapText="1"/>
    </xf>
    <xf numFmtId="4" fontId="11" fillId="0" borderId="37" xfId="0" applyNumberFormat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4" fontId="11" fillId="0" borderId="35" xfId="0" applyNumberFormat="1" applyFont="1" applyBorder="1" applyAlignment="1">
      <alignment horizontal="center" vertical="center"/>
    </xf>
    <xf numFmtId="4" fontId="11" fillId="0" borderId="36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4" fontId="3" fillId="4" borderId="21" xfId="0" applyNumberFormat="1" applyFont="1" applyFill="1" applyBorder="1" applyAlignment="1">
      <alignment horizontal="right" vertical="center"/>
    </xf>
    <xf numFmtId="4" fontId="9" fillId="0" borderId="35" xfId="0" applyNumberFormat="1" applyFont="1" applyBorder="1" applyAlignment="1">
      <alignment horizontal="center" vertical="center" wrapText="1"/>
    </xf>
    <xf numFmtId="4" fontId="9" fillId="0" borderId="37" xfId="0" applyNumberFormat="1" applyFont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10" fillId="0" borderId="35" xfId="0" applyNumberFormat="1" applyFont="1" applyBorder="1" applyAlignment="1">
      <alignment horizontal="center" vertical="center" wrapText="1"/>
    </xf>
    <xf numFmtId="4" fontId="10" fillId="0" borderId="37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4" fontId="10" fillId="0" borderId="25" xfId="0" applyNumberFormat="1" applyFont="1" applyBorder="1" applyAlignment="1">
      <alignment horizontal="center" vertical="center" wrapText="1"/>
    </xf>
    <xf numFmtId="4" fontId="9" fillId="2" borderId="31" xfId="0" applyNumberFormat="1" applyFont="1" applyFill="1" applyBorder="1" applyAlignment="1">
      <alignment horizontal="center"/>
    </xf>
    <xf numFmtId="4" fontId="2" fillId="0" borderId="18" xfId="0" applyNumberFormat="1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4" fontId="5" fillId="0" borderId="35" xfId="0" applyNumberFormat="1" applyFont="1" applyBorder="1" applyAlignment="1">
      <alignment horizontal="center" vertical="center"/>
    </xf>
    <xf numFmtId="4" fontId="5" fillId="0" borderId="36" xfId="0" applyNumberFormat="1" applyFont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4" fontId="3" fillId="3" borderId="32" xfId="0" applyNumberFormat="1" applyFont="1" applyFill="1" applyBorder="1" applyAlignment="1">
      <alignment horizontal="center" vertical="center"/>
    </xf>
    <xf numFmtId="4" fontId="3" fillId="3" borderId="34" xfId="0" applyNumberFormat="1" applyFont="1" applyFill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4" borderId="27" xfId="0" applyNumberFormat="1" applyFont="1" applyFill="1" applyBorder="1" applyAlignment="1">
      <alignment horizontal="right" vertical="center"/>
    </xf>
    <xf numFmtId="4" fontId="3" fillId="4" borderId="26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" fontId="5" fillId="4" borderId="35" xfId="0" applyNumberFormat="1" applyFont="1" applyFill="1" applyBorder="1" applyAlignment="1">
      <alignment horizontal="center" vertical="center" wrapText="1"/>
    </xf>
    <xf numFmtId="4" fontId="5" fillId="4" borderId="37" xfId="0" applyNumberFormat="1" applyFont="1" applyFill="1" applyBorder="1" applyAlignment="1">
      <alignment horizontal="center" vertical="center" wrapText="1"/>
    </xf>
    <xf numFmtId="4" fontId="3" fillId="3" borderId="29" xfId="0" applyNumberFormat="1" applyFont="1" applyFill="1" applyBorder="1" applyAlignment="1">
      <alignment horizontal="center" vertical="center"/>
    </xf>
    <xf numFmtId="4" fontId="3" fillId="3" borderId="30" xfId="0" applyNumberFormat="1" applyFont="1" applyFill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4" fontId="2" fillId="0" borderId="35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9" fillId="3" borderId="12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" fontId="9" fillId="0" borderId="18" xfId="0" applyNumberFormat="1" applyFont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4" fontId="11" fillId="0" borderId="1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6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4" fontId="11" fillId="0" borderId="37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5" fillId="0" borderId="37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4" fontId="12" fillId="0" borderId="21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4" fontId="0" fillId="0" borderId="27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27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4" fontId="1" fillId="0" borderId="4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4" fontId="0" fillId="0" borderId="41" xfId="0" applyNumberFormat="1" applyFont="1" applyBorder="1" applyAlignment="1">
      <alignment horizontal="center" vertical="center"/>
    </xf>
    <xf numFmtId="4" fontId="0" fillId="0" borderId="42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0" fillId="0" borderId="12" xfId="0" applyNumberFormat="1" applyFont="1" applyBorder="1" applyAlignment="1">
      <alignment horizontal="center" vertical="center"/>
    </xf>
    <xf numFmtId="4" fontId="0" fillId="0" borderId="18" xfId="0" applyNumberFormat="1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4" borderId="32" xfId="0" applyNumberFormat="1" applyFont="1" applyFill="1" applyBorder="1" applyAlignment="1" applyProtection="1">
      <alignment horizontal="left" vertical="center"/>
    </xf>
    <xf numFmtId="0" fontId="9" fillId="4" borderId="33" xfId="0" applyNumberFormat="1" applyFont="1" applyFill="1" applyBorder="1" applyAlignment="1" applyProtection="1">
      <alignment horizontal="left" vertical="center"/>
    </xf>
    <xf numFmtId="0" fontId="9" fillId="4" borderId="34" xfId="0" applyNumberFormat="1" applyFont="1" applyFill="1" applyBorder="1" applyAlignment="1" applyProtection="1">
      <alignment horizontal="left" vertical="center"/>
    </xf>
    <xf numFmtId="0" fontId="15" fillId="4" borderId="32" xfId="0" applyNumberFormat="1" applyFont="1" applyFill="1" applyBorder="1" applyAlignment="1" applyProtection="1">
      <alignment horizontal="center" vertical="center" wrapText="1"/>
    </xf>
    <xf numFmtId="0" fontId="15" fillId="4" borderId="34" xfId="0" applyNumberFormat="1" applyFont="1" applyFill="1" applyBorder="1" applyAlignment="1" applyProtection="1">
      <alignment horizontal="center" vertical="center" wrapText="1"/>
    </xf>
    <xf numFmtId="0" fontId="15" fillId="4" borderId="12" xfId="0" applyNumberFormat="1" applyFont="1" applyFill="1" applyBorder="1" applyAlignment="1" applyProtection="1">
      <alignment horizontal="center" vertical="center" wrapText="1"/>
    </xf>
    <xf numFmtId="0" fontId="15" fillId="4" borderId="18" xfId="0" applyNumberFormat="1" applyFont="1" applyFill="1" applyBorder="1" applyAlignment="1" applyProtection="1">
      <alignment horizontal="center" vertical="center" wrapText="1"/>
    </xf>
    <xf numFmtId="0" fontId="10" fillId="4" borderId="21" xfId="0" applyNumberFormat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11" fillId="4" borderId="21" xfId="0" quotePrefix="1" applyFont="1" applyFill="1" applyBorder="1" applyAlignment="1">
      <alignment horizontal="left" vertical="center" wrapText="1"/>
    </xf>
    <xf numFmtId="0" fontId="11" fillId="4" borderId="22" xfId="0" quotePrefix="1" applyFont="1" applyFill="1" applyBorder="1" applyAlignment="1">
      <alignment horizontal="left" vertical="center"/>
    </xf>
    <xf numFmtId="0" fontId="15" fillId="4" borderId="16" xfId="0" applyNumberFormat="1" applyFont="1" applyFill="1" applyBorder="1" applyAlignment="1" applyProtection="1">
      <alignment horizontal="center" vertical="center" wrapText="1"/>
    </xf>
    <xf numFmtId="0" fontId="15" fillId="4" borderId="19" xfId="0" applyNumberFormat="1" applyFont="1" applyFill="1" applyBorder="1" applyAlignment="1" applyProtection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4" borderId="21" xfId="0" quotePrefix="1" applyFont="1" applyFill="1" applyBorder="1" applyAlignment="1">
      <alignment horizontal="left" vertical="center"/>
    </xf>
    <xf numFmtId="0" fontId="9" fillId="4" borderId="21" xfId="0" applyNumberFormat="1" applyFont="1" applyFill="1" applyBorder="1" applyAlignment="1" applyProtection="1">
      <alignment horizontal="left" vertical="center" wrapText="1"/>
    </xf>
    <xf numFmtId="0" fontId="10" fillId="4" borderId="35" xfId="0" applyNumberFormat="1" applyFont="1" applyFill="1" applyBorder="1" applyAlignment="1" applyProtection="1">
      <alignment horizontal="left" vertical="center" wrapText="1"/>
    </xf>
    <xf numFmtId="0" fontId="10" fillId="4" borderId="36" xfId="0" applyNumberFormat="1" applyFont="1" applyFill="1" applyBorder="1" applyAlignment="1" applyProtection="1">
      <alignment horizontal="left" vertical="center" wrapText="1"/>
    </xf>
    <xf numFmtId="0" fontId="10" fillId="4" borderId="37" xfId="0" applyNumberFormat="1" applyFont="1" applyFill="1" applyBorder="1" applyAlignment="1" applyProtection="1">
      <alignment horizontal="left" vertical="center" wrapText="1"/>
    </xf>
    <xf numFmtId="0" fontId="10" fillId="4" borderId="14" xfId="0" applyNumberFormat="1" applyFont="1" applyFill="1" applyBorder="1" applyAlignment="1" applyProtection="1">
      <alignment horizontal="left" vertical="center" wrapText="1"/>
    </xf>
    <xf numFmtId="0" fontId="10" fillId="4" borderId="15" xfId="0" applyNumberFormat="1" applyFont="1" applyFill="1" applyBorder="1" applyAlignment="1" applyProtection="1">
      <alignment horizontal="left" vertical="center" wrapText="1"/>
    </xf>
    <xf numFmtId="0" fontId="10" fillId="4" borderId="25" xfId="0" applyNumberFormat="1" applyFont="1" applyFill="1" applyBorder="1" applyAlignment="1" applyProtection="1">
      <alignment horizontal="left" vertical="center" wrapText="1"/>
    </xf>
    <xf numFmtId="4" fontId="1" fillId="0" borderId="32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4" fontId="1" fillId="5" borderId="27" xfId="0" applyNumberFormat="1" applyFont="1" applyFill="1" applyBorder="1" applyAlignment="1">
      <alignment horizontal="center" vertical="center"/>
    </xf>
    <xf numFmtId="4" fontId="1" fillId="3" borderId="37" xfId="0" applyNumberFormat="1" applyFont="1" applyFill="1" applyBorder="1" applyAlignment="1">
      <alignment horizontal="right" vertical="center"/>
    </xf>
    <xf numFmtId="4" fontId="1" fillId="3" borderId="30" xfId="0" applyNumberFormat="1" applyFont="1" applyFill="1" applyBorder="1" applyAlignment="1">
      <alignment horizontal="right" vertical="center"/>
    </xf>
    <xf numFmtId="0" fontId="3" fillId="3" borderId="29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4" fontId="1" fillId="3" borderId="38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4" fontId="1" fillId="3" borderId="21" xfId="0" applyNumberFormat="1" applyFont="1" applyFill="1" applyBorder="1" applyAlignment="1">
      <alignment horizontal="center" vertical="center"/>
    </xf>
    <xf numFmtId="4" fontId="1" fillId="3" borderId="27" xfId="0" applyNumberFormat="1" applyFont="1" applyFill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4" fontId="1" fillId="3" borderId="35" xfId="0" applyNumberFormat="1" applyFont="1" applyFill="1" applyBorder="1" applyAlignment="1">
      <alignment horizontal="center" vertical="center"/>
    </xf>
    <xf numFmtId="4" fontId="1" fillId="3" borderId="37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3" borderId="35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4" fontId="1" fillId="5" borderId="35" xfId="0" applyNumberFormat="1" applyFont="1" applyFill="1" applyBorder="1" applyAlignment="1">
      <alignment horizontal="center" vertical="center"/>
    </xf>
    <xf numFmtId="4" fontId="1" fillId="5" borderId="37" xfId="0" applyNumberFormat="1" applyFont="1" applyFill="1" applyBorder="1" applyAlignment="1">
      <alignment horizontal="center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1" fillId="3" borderId="25" xfId="0" applyNumberFormat="1" applyFont="1" applyFill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/>
    </xf>
    <xf numFmtId="4" fontId="1" fillId="6" borderId="23" xfId="0" applyNumberFormat="1" applyFont="1" applyFill="1" applyBorder="1" applyAlignment="1">
      <alignment horizontal="center" vertical="center"/>
    </xf>
    <xf numFmtId="4" fontId="1" fillId="5" borderId="29" xfId="0" applyNumberFormat="1" applyFont="1" applyFill="1" applyBorder="1" applyAlignment="1">
      <alignment horizontal="center" vertical="center"/>
    </xf>
    <xf numFmtId="4" fontId="1" fillId="5" borderId="30" xfId="0" applyNumberFormat="1" applyFont="1" applyFill="1" applyBorder="1" applyAlignment="1">
      <alignment horizontal="center" vertical="center"/>
    </xf>
    <xf numFmtId="4" fontId="13" fillId="0" borderId="12" xfId="0" applyNumberFormat="1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4" fontId="14" fillId="0" borderId="1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3" borderId="29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29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" fontId="0" fillId="0" borderId="26" xfId="0" applyNumberFormat="1" applyBorder="1" applyAlignment="1">
      <alignment horizontal="center" vertical="center"/>
    </xf>
    <xf numFmtId="4" fontId="1" fillId="3" borderId="38" xfId="0" applyNumberFormat="1" applyFont="1" applyFill="1" applyBorder="1" applyAlignment="1">
      <alignment horizontal="right" vertical="center"/>
    </xf>
    <xf numFmtId="0" fontId="3" fillId="3" borderId="37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center" vertical="center"/>
    </xf>
    <xf numFmtId="4" fontId="1" fillId="3" borderId="29" xfId="0" applyNumberFormat="1" applyFont="1" applyFill="1" applyBorder="1" applyAlignment="1">
      <alignment horizontal="center" vertical="center"/>
    </xf>
    <xf numFmtId="4" fontId="1" fillId="3" borderId="30" xfId="0" applyNumberFormat="1" applyFont="1" applyFill="1" applyBorder="1" applyAlignment="1">
      <alignment horizontal="center" vertical="center"/>
    </xf>
    <xf numFmtId="4" fontId="0" fillId="0" borderId="12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4" fontId="1" fillId="3" borderId="27" xfId="0" applyNumberFormat="1" applyFont="1" applyFill="1" applyBorder="1" applyAlignment="1">
      <alignment horizontal="right" vertical="center"/>
    </xf>
    <xf numFmtId="4" fontId="0" fillId="0" borderId="24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4" fontId="3" fillId="4" borderId="12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3" fillId="4" borderId="16" xfId="0" applyNumberFormat="1" applyFont="1" applyFill="1" applyBorder="1" applyAlignment="1">
      <alignment horizontal="center" vertical="center"/>
    </xf>
    <xf numFmtId="4" fontId="3" fillId="4" borderId="19" xfId="0" applyNumberFormat="1" applyFont="1" applyFill="1" applyBorder="1" applyAlignment="1">
      <alignment horizontal="center" vertical="center"/>
    </xf>
    <xf numFmtId="4" fontId="3" fillId="4" borderId="32" xfId="0" applyNumberFormat="1" applyFont="1" applyFill="1" applyBorder="1" applyAlignment="1">
      <alignment horizontal="center" vertical="center"/>
    </xf>
    <xf numFmtId="4" fontId="3" fillId="4" borderId="3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/>
  </sheetViews>
  <sheetFormatPr defaultRowHeight="15" x14ac:dyDescent="0.25"/>
  <cols>
    <col min="1" max="3" width="8.85546875" customWidth="1"/>
    <col min="4" max="4" width="12.85546875" customWidth="1"/>
    <col min="5" max="10" width="8.85546875" customWidth="1"/>
    <col min="13" max="13" width="12.7109375" bestFit="1" customWidth="1"/>
  </cols>
  <sheetData>
    <row r="1" spans="1:12" x14ac:dyDescent="0.25">
      <c r="A1" s="63" t="s">
        <v>195</v>
      </c>
    </row>
    <row r="2" spans="1:12" x14ac:dyDescent="0.25">
      <c r="A2" s="62" t="s">
        <v>12</v>
      </c>
    </row>
    <row r="3" spans="1:12" x14ac:dyDescent="0.25">
      <c r="A3" s="62" t="s">
        <v>196</v>
      </c>
    </row>
    <row r="5" spans="1:12" ht="15" customHeight="1" x14ac:dyDescent="0.25">
      <c r="A5" s="256" t="s">
        <v>222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</row>
    <row r="6" spans="1:12" x14ac:dyDescent="0.25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</row>
    <row r="7" spans="1:12" x14ac:dyDescent="0.25">
      <c r="A7" s="256"/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</row>
    <row r="9" spans="1:12" x14ac:dyDescent="0.25">
      <c r="A9" s="255" t="s">
        <v>223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</row>
    <row r="10" spans="1:12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x14ac:dyDescent="0.25">
      <c r="A11" s="255" t="s">
        <v>0</v>
      </c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</row>
    <row r="12" spans="1:12" x14ac:dyDescent="0.25">
      <c r="A12" s="255" t="s">
        <v>143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</row>
    <row r="14" spans="1:12" ht="15.75" thickBot="1" x14ac:dyDescent="0.3">
      <c r="A14" s="1" t="s">
        <v>131</v>
      </c>
    </row>
    <row r="15" spans="1:12" ht="15" customHeight="1" x14ac:dyDescent="0.25">
      <c r="A15" s="257" t="s">
        <v>1</v>
      </c>
      <c r="B15" s="258"/>
      <c r="C15" s="258"/>
      <c r="D15" s="259"/>
      <c r="E15" s="263" t="s">
        <v>185</v>
      </c>
      <c r="F15" s="263"/>
      <c r="G15" s="265" t="s">
        <v>267</v>
      </c>
      <c r="H15" s="266"/>
      <c r="I15" s="263" t="s">
        <v>224</v>
      </c>
      <c r="J15" s="263"/>
      <c r="K15" s="17" t="s">
        <v>38</v>
      </c>
      <c r="L15" s="17" t="s">
        <v>38</v>
      </c>
    </row>
    <row r="16" spans="1:12" x14ac:dyDescent="0.25">
      <c r="A16" s="260"/>
      <c r="B16" s="261"/>
      <c r="C16" s="261"/>
      <c r="D16" s="262"/>
      <c r="E16" s="264"/>
      <c r="F16" s="264"/>
      <c r="G16" s="267"/>
      <c r="H16" s="268"/>
      <c r="I16" s="264"/>
      <c r="J16" s="264"/>
      <c r="K16" s="223" t="s">
        <v>265</v>
      </c>
      <c r="L16" s="223" t="s">
        <v>264</v>
      </c>
    </row>
    <row r="17" spans="1:13" ht="15.75" thickBot="1" x14ac:dyDescent="0.3">
      <c r="A17" s="281">
        <v>1</v>
      </c>
      <c r="B17" s="282"/>
      <c r="C17" s="282"/>
      <c r="D17" s="283"/>
      <c r="E17" s="269">
        <v>2</v>
      </c>
      <c r="F17" s="269"/>
      <c r="G17" s="269">
        <v>3</v>
      </c>
      <c r="H17" s="269"/>
      <c r="I17" s="269">
        <v>4</v>
      </c>
      <c r="J17" s="269"/>
      <c r="K17" s="18">
        <v>5</v>
      </c>
      <c r="L17" s="18">
        <v>6</v>
      </c>
    </row>
    <row r="18" spans="1:13" x14ac:dyDescent="0.25">
      <c r="A18" s="284" t="s">
        <v>2</v>
      </c>
      <c r="B18" s="285"/>
      <c r="C18" s="285"/>
      <c r="D18" s="286"/>
      <c r="E18" s="290">
        <v>2273844.35</v>
      </c>
      <c r="F18" s="291"/>
      <c r="G18" s="292">
        <v>2511778.65</v>
      </c>
      <c r="H18" s="293"/>
      <c r="I18" s="290">
        <v>2601397.71</v>
      </c>
      <c r="J18" s="291"/>
      <c r="K18" s="45">
        <f t="shared" ref="K18:K25" si="0">I18/E18*100</f>
        <v>114.40526744937489</v>
      </c>
      <c r="L18" s="45">
        <f>I18/G18*100</f>
        <v>103.56795213622824</v>
      </c>
      <c r="M18" s="22"/>
    </row>
    <row r="19" spans="1:13" x14ac:dyDescent="0.25">
      <c r="A19" s="287" t="s">
        <v>3</v>
      </c>
      <c r="B19" s="288"/>
      <c r="C19" s="288"/>
      <c r="D19" s="289"/>
      <c r="E19" s="270">
        <v>0</v>
      </c>
      <c r="F19" s="271"/>
      <c r="G19" s="270">
        <v>10</v>
      </c>
      <c r="H19" s="271"/>
      <c r="I19" s="270">
        <v>0</v>
      </c>
      <c r="J19" s="271"/>
      <c r="K19" s="43" t="e">
        <f t="shared" si="0"/>
        <v>#DIV/0!</v>
      </c>
      <c r="L19" s="43">
        <f t="shared" ref="L19:L33" si="1">I19/G19*100</f>
        <v>0</v>
      </c>
    </row>
    <row r="20" spans="1:13" x14ac:dyDescent="0.25">
      <c r="A20" s="287" t="s">
        <v>11</v>
      </c>
      <c r="B20" s="288"/>
      <c r="C20" s="288"/>
      <c r="D20" s="289"/>
      <c r="E20" s="270">
        <v>28081.59</v>
      </c>
      <c r="F20" s="271"/>
      <c r="G20" s="270">
        <v>54932.639999999999</v>
      </c>
      <c r="H20" s="271"/>
      <c r="I20" s="270">
        <v>54932.639999999999</v>
      </c>
      <c r="J20" s="271"/>
      <c r="K20" s="43">
        <f t="shared" si="0"/>
        <v>195.6179831697564</v>
      </c>
      <c r="L20" s="43">
        <f t="shared" si="1"/>
        <v>100</v>
      </c>
    </row>
    <row r="21" spans="1:13" s="62" customFormat="1" x14ac:dyDescent="0.25">
      <c r="A21" s="252" t="s">
        <v>4</v>
      </c>
      <c r="B21" s="253"/>
      <c r="C21" s="253"/>
      <c r="D21" s="254"/>
      <c r="E21" s="247">
        <f>SUM(E18:F20)</f>
        <v>2301925.94</v>
      </c>
      <c r="F21" s="248"/>
      <c r="G21" s="247">
        <f>SUM(G18:H20)</f>
        <v>2566721.29</v>
      </c>
      <c r="H21" s="248"/>
      <c r="I21" s="247">
        <f>SUM(I18:J20)</f>
        <v>2656330.35</v>
      </c>
      <c r="J21" s="248"/>
      <c r="K21" s="42">
        <f t="shared" si="0"/>
        <v>115.39599532033597</v>
      </c>
      <c r="L21" s="42">
        <f>I21/G21*100</f>
        <v>103.49118777909854</v>
      </c>
    </row>
    <row r="22" spans="1:13" x14ac:dyDescent="0.25">
      <c r="A22" s="287" t="s">
        <v>5</v>
      </c>
      <c r="B22" s="288"/>
      <c r="C22" s="288"/>
      <c r="D22" s="289"/>
      <c r="E22" s="270">
        <v>2242054.08</v>
      </c>
      <c r="F22" s="271"/>
      <c r="G22" s="270">
        <v>2448452.19</v>
      </c>
      <c r="H22" s="271"/>
      <c r="I22" s="270">
        <v>2627205.96</v>
      </c>
      <c r="J22" s="271"/>
      <c r="K22" s="43">
        <f t="shared" si="0"/>
        <v>117.17852764729028</v>
      </c>
      <c r="L22" s="43">
        <f t="shared" si="1"/>
        <v>107.30068451939019</v>
      </c>
      <c r="M22" s="22"/>
    </row>
    <row r="23" spans="1:13" x14ac:dyDescent="0.25">
      <c r="A23" s="287" t="s">
        <v>6</v>
      </c>
      <c r="B23" s="288"/>
      <c r="C23" s="288"/>
      <c r="D23" s="289"/>
      <c r="E23" s="270">
        <v>4939.22</v>
      </c>
      <c r="F23" s="271"/>
      <c r="G23" s="270">
        <v>118269.1</v>
      </c>
      <c r="H23" s="271"/>
      <c r="I23" s="270">
        <v>118890.05</v>
      </c>
      <c r="J23" s="271"/>
      <c r="K23" s="43">
        <f t="shared" si="0"/>
        <v>2407.0612363895511</v>
      </c>
      <c r="L23" s="43">
        <f t="shared" si="1"/>
        <v>100.52503147483154</v>
      </c>
      <c r="M23" s="22"/>
    </row>
    <row r="24" spans="1:13" s="62" customFormat="1" x14ac:dyDescent="0.25">
      <c r="A24" s="252" t="s">
        <v>7</v>
      </c>
      <c r="B24" s="253"/>
      <c r="C24" s="253"/>
      <c r="D24" s="254"/>
      <c r="E24" s="247">
        <f>SUM(E22:F23)</f>
        <v>2246993.3000000003</v>
      </c>
      <c r="F24" s="248"/>
      <c r="G24" s="247">
        <f>SUM(G22:H23)</f>
        <v>2566721.29</v>
      </c>
      <c r="H24" s="248"/>
      <c r="I24" s="247">
        <f>SUM(I22:J23)</f>
        <v>2746096.01</v>
      </c>
      <c r="J24" s="248"/>
      <c r="K24" s="42">
        <f t="shared" si="0"/>
        <v>122.21202484226363</v>
      </c>
      <c r="L24" s="42">
        <f t="shared" ref="L24" si="2">I24/G24*100</f>
        <v>106.98847672705436</v>
      </c>
      <c r="M24" s="22"/>
    </row>
    <row r="25" spans="1:13" ht="15.75" thickBot="1" x14ac:dyDescent="0.3">
      <c r="A25" s="272" t="s">
        <v>8</v>
      </c>
      <c r="B25" s="273"/>
      <c r="C25" s="273"/>
      <c r="D25" s="274"/>
      <c r="E25" s="275">
        <f>E21-E24</f>
        <v>54932.639999999665</v>
      </c>
      <c r="F25" s="276"/>
      <c r="G25" s="275">
        <f>G21-G24</f>
        <v>0</v>
      </c>
      <c r="H25" s="276"/>
      <c r="I25" s="275">
        <f>I21-I24</f>
        <v>-89765.659999999683</v>
      </c>
      <c r="J25" s="276"/>
      <c r="K25" s="44">
        <f t="shared" si="0"/>
        <v>-163.4104241121494</v>
      </c>
      <c r="L25" s="44" t="e">
        <f>I25/G25*100</f>
        <v>#DIV/0!</v>
      </c>
    </row>
    <row r="26" spans="1:13" x14ac:dyDescent="0.25">
      <c r="K26" s="22"/>
      <c r="L26" s="22"/>
      <c r="M26" s="22"/>
    </row>
    <row r="27" spans="1:13" ht="15.75" thickBot="1" x14ac:dyDescent="0.3">
      <c r="A27" s="1" t="s">
        <v>132</v>
      </c>
    </row>
    <row r="28" spans="1:13" ht="15" customHeight="1" x14ac:dyDescent="0.25">
      <c r="A28" s="277" t="s">
        <v>147</v>
      </c>
      <c r="B28" s="277"/>
      <c r="C28" s="277"/>
      <c r="D28" s="277"/>
      <c r="E28" s="263" t="s">
        <v>185</v>
      </c>
      <c r="F28" s="263"/>
      <c r="G28" s="265" t="s">
        <v>267</v>
      </c>
      <c r="H28" s="266"/>
      <c r="I28" s="263" t="s">
        <v>224</v>
      </c>
      <c r="J28" s="263"/>
      <c r="K28" s="17" t="s">
        <v>38</v>
      </c>
      <c r="L28" s="17" t="s">
        <v>38</v>
      </c>
    </row>
    <row r="29" spans="1:13" x14ac:dyDescent="0.25">
      <c r="A29" s="278"/>
      <c r="B29" s="278"/>
      <c r="C29" s="278"/>
      <c r="D29" s="278"/>
      <c r="E29" s="264"/>
      <c r="F29" s="264"/>
      <c r="G29" s="267"/>
      <c r="H29" s="268"/>
      <c r="I29" s="264"/>
      <c r="J29" s="264"/>
      <c r="K29" s="223" t="s">
        <v>265</v>
      </c>
      <c r="L29" s="223" t="s">
        <v>264</v>
      </c>
      <c r="M29" s="22"/>
    </row>
    <row r="30" spans="1:13" ht="15.75" thickBot="1" x14ac:dyDescent="0.3">
      <c r="A30" s="281">
        <v>1</v>
      </c>
      <c r="B30" s="282"/>
      <c r="C30" s="282"/>
      <c r="D30" s="283"/>
      <c r="E30" s="269">
        <v>2</v>
      </c>
      <c r="F30" s="269"/>
      <c r="G30" s="269">
        <v>3</v>
      </c>
      <c r="H30" s="269"/>
      <c r="I30" s="269">
        <v>4</v>
      </c>
      <c r="J30" s="269"/>
      <c r="K30" s="18">
        <v>5</v>
      </c>
      <c r="L30" s="18">
        <v>6</v>
      </c>
      <c r="M30" s="22"/>
    </row>
    <row r="31" spans="1:13" x14ac:dyDescent="0.25">
      <c r="A31" s="280" t="s">
        <v>10</v>
      </c>
      <c r="B31" s="280"/>
      <c r="C31" s="280"/>
      <c r="D31" s="280"/>
      <c r="E31" s="279">
        <v>0</v>
      </c>
      <c r="F31" s="279"/>
      <c r="G31" s="279">
        <v>0</v>
      </c>
      <c r="H31" s="279"/>
      <c r="I31" s="279">
        <v>0</v>
      </c>
      <c r="J31" s="279"/>
      <c r="K31" s="39" t="e">
        <f t="shared" ref="K31:K37" si="3">I31/E31*100</f>
        <v>#DIV/0!</v>
      </c>
      <c r="L31" s="39" t="e">
        <f t="shared" si="1"/>
        <v>#DIV/0!</v>
      </c>
    </row>
    <row r="32" spans="1:13" x14ac:dyDescent="0.25">
      <c r="A32" s="251" t="s">
        <v>9</v>
      </c>
      <c r="B32" s="251"/>
      <c r="C32" s="251"/>
      <c r="D32" s="251"/>
      <c r="E32" s="249">
        <v>0</v>
      </c>
      <c r="F32" s="249"/>
      <c r="G32" s="249">
        <v>0</v>
      </c>
      <c r="H32" s="249"/>
      <c r="I32" s="249">
        <v>0</v>
      </c>
      <c r="J32" s="249"/>
      <c r="K32" s="40" t="e">
        <f t="shared" si="3"/>
        <v>#DIV/0!</v>
      </c>
      <c r="L32" s="40" t="e">
        <f t="shared" si="1"/>
        <v>#DIV/0!</v>
      </c>
    </row>
    <row r="33" spans="1:12" x14ac:dyDescent="0.25">
      <c r="A33" s="252" t="s">
        <v>189</v>
      </c>
      <c r="B33" s="253"/>
      <c r="C33" s="253"/>
      <c r="D33" s="254"/>
      <c r="E33" s="247">
        <f t="shared" ref="E33" si="4">E31-E32</f>
        <v>0</v>
      </c>
      <c r="F33" s="248"/>
      <c r="G33" s="247">
        <f t="shared" ref="G33" si="5">G31-G32</f>
        <v>0</v>
      </c>
      <c r="H33" s="248"/>
      <c r="I33" s="247">
        <f t="shared" ref="I33" si="6">I31-I32</f>
        <v>0</v>
      </c>
      <c r="J33" s="248"/>
      <c r="K33" s="42" t="e">
        <f t="shared" si="3"/>
        <v>#DIV/0!</v>
      </c>
      <c r="L33" s="42" t="e">
        <f t="shared" si="1"/>
        <v>#DIV/0!</v>
      </c>
    </row>
    <row r="34" spans="1:12" s="62" customFormat="1" x14ac:dyDescent="0.25">
      <c r="A34" s="251" t="s">
        <v>190</v>
      </c>
      <c r="B34" s="251"/>
      <c r="C34" s="251"/>
      <c r="D34" s="251"/>
      <c r="E34" s="249">
        <v>28081.59</v>
      </c>
      <c r="F34" s="249"/>
      <c r="G34" s="249">
        <v>54932.639999999999</v>
      </c>
      <c r="H34" s="249"/>
      <c r="I34" s="249">
        <v>54932.639999999999</v>
      </c>
      <c r="J34" s="249"/>
      <c r="K34" s="43">
        <f t="shared" si="3"/>
        <v>195.6179831697564</v>
      </c>
      <c r="L34" s="40">
        <f>I34/G34*100</f>
        <v>100</v>
      </c>
    </row>
    <row r="35" spans="1:12" s="62" customFormat="1" x14ac:dyDescent="0.25">
      <c r="A35" s="251" t="s">
        <v>191</v>
      </c>
      <c r="B35" s="251"/>
      <c r="C35" s="251"/>
      <c r="D35" s="251"/>
      <c r="E35" s="249">
        <v>54932.639999999999</v>
      </c>
      <c r="F35" s="249"/>
      <c r="G35" s="249">
        <v>0</v>
      </c>
      <c r="H35" s="249"/>
      <c r="I35" s="250">
        <v>-89765.66</v>
      </c>
      <c r="J35" s="250"/>
      <c r="K35" s="43">
        <f t="shared" si="3"/>
        <v>-163.410424112149</v>
      </c>
      <c r="L35" s="40" t="e">
        <f>I35/G35*100</f>
        <v>#DIV/0!</v>
      </c>
    </row>
    <row r="36" spans="1:12" s="62" customFormat="1" x14ac:dyDescent="0.25">
      <c r="A36" s="252" t="s">
        <v>192</v>
      </c>
      <c r="B36" s="253"/>
      <c r="C36" s="253"/>
      <c r="D36" s="254"/>
      <c r="E36" s="247">
        <v>0</v>
      </c>
      <c r="F36" s="248"/>
      <c r="G36" s="247">
        <v>0</v>
      </c>
      <c r="H36" s="248"/>
      <c r="I36" s="247">
        <v>0</v>
      </c>
      <c r="J36" s="248"/>
      <c r="K36" s="42" t="e">
        <f t="shared" si="3"/>
        <v>#DIV/0!</v>
      </c>
      <c r="L36" s="42" t="e">
        <f t="shared" ref="L36:L37" si="7">I36/G36*100</f>
        <v>#DIV/0!</v>
      </c>
    </row>
    <row r="37" spans="1:12" s="62" customFormat="1" x14ac:dyDescent="0.25">
      <c r="A37" s="252" t="s">
        <v>193</v>
      </c>
      <c r="B37" s="253"/>
      <c r="C37" s="253"/>
      <c r="D37" s="254"/>
      <c r="E37" s="247">
        <f>E25</f>
        <v>54932.639999999665</v>
      </c>
      <c r="F37" s="248"/>
      <c r="G37" s="247">
        <v>0</v>
      </c>
      <c r="H37" s="248"/>
      <c r="I37" s="247">
        <f>I25</f>
        <v>-89765.659999999683</v>
      </c>
      <c r="J37" s="248"/>
      <c r="K37" s="42">
        <f t="shared" si="3"/>
        <v>-163.4104241121494</v>
      </c>
      <c r="L37" s="42" t="e">
        <f t="shared" si="7"/>
        <v>#DIV/0!</v>
      </c>
    </row>
    <row r="38" spans="1:12" s="62" customFormat="1" x14ac:dyDescent="0.25">
      <c r="A38" s="74"/>
      <c r="B38" s="74"/>
      <c r="C38" s="74"/>
      <c r="D38" s="74"/>
      <c r="E38" s="75"/>
      <c r="F38" s="75"/>
      <c r="G38" s="75"/>
      <c r="H38" s="75"/>
      <c r="I38" s="75"/>
      <c r="J38" s="75"/>
      <c r="K38" s="76"/>
      <c r="L38" s="76"/>
    </row>
    <row r="39" spans="1:12" s="62" customFormat="1" x14ac:dyDescent="0.25">
      <c r="A39" s="74"/>
      <c r="B39" s="74"/>
      <c r="C39" s="74"/>
      <c r="D39" s="74"/>
      <c r="E39" s="75"/>
      <c r="F39" s="75"/>
      <c r="G39" s="75"/>
      <c r="H39" s="75"/>
      <c r="I39" s="75"/>
      <c r="J39" s="75"/>
      <c r="K39" s="76"/>
      <c r="L39" s="76"/>
    </row>
    <row r="40" spans="1:12" s="62" customFormat="1" x14ac:dyDescent="0.25">
      <c r="A40" s="74"/>
      <c r="B40" s="74"/>
      <c r="C40" s="74"/>
      <c r="D40" s="74"/>
      <c r="E40" s="75"/>
      <c r="F40" s="75"/>
      <c r="G40" s="75"/>
      <c r="H40" s="75"/>
      <c r="I40" s="75"/>
      <c r="J40" s="75"/>
      <c r="K40" s="76"/>
      <c r="L40" s="76"/>
    </row>
    <row r="41" spans="1:12" s="62" customFormat="1" x14ac:dyDescent="0.25">
      <c r="A41" s="74"/>
      <c r="B41" s="74"/>
      <c r="C41" s="74"/>
      <c r="D41" s="74"/>
      <c r="E41" s="75"/>
      <c r="F41" s="75"/>
      <c r="G41" s="75"/>
      <c r="H41" s="75"/>
      <c r="I41" s="75"/>
      <c r="J41" s="75"/>
      <c r="K41" s="76"/>
      <c r="L41" s="76"/>
    </row>
    <row r="44" spans="1:12" ht="15" customHeight="1" x14ac:dyDescent="0.25"/>
    <row r="48" spans="1:12" ht="9.75" customHeight="1" x14ac:dyDescent="0.25"/>
  </sheetData>
  <customSheetViews>
    <customSheetView guid="{005C429F-8448-44DF-83AD-8A930973E873}" topLeftCell="A10">
      <selection activeCell="N35" sqref="N35"/>
      <pageMargins left="0.7" right="0.7" top="0.75" bottom="0.75" header="0.3" footer="0.3"/>
      <pageSetup paperSize="9" scale="92" orientation="portrait" r:id="rId1"/>
    </customSheetView>
  </customSheetViews>
  <mergeCells count="80">
    <mergeCell ref="A17:D17"/>
    <mergeCell ref="I25:J25"/>
    <mergeCell ref="G24:H24"/>
    <mergeCell ref="G22:H22"/>
    <mergeCell ref="G23:H23"/>
    <mergeCell ref="I24:J24"/>
    <mergeCell ref="E20:F20"/>
    <mergeCell ref="E22:F22"/>
    <mergeCell ref="E23:F23"/>
    <mergeCell ref="I18:J18"/>
    <mergeCell ref="I19:J19"/>
    <mergeCell ref="A20:D20"/>
    <mergeCell ref="A22:D22"/>
    <mergeCell ref="A23:D23"/>
    <mergeCell ref="G18:H18"/>
    <mergeCell ref="G19:H19"/>
    <mergeCell ref="G20:H20"/>
    <mergeCell ref="A18:D18"/>
    <mergeCell ref="A19:D19"/>
    <mergeCell ref="E18:F18"/>
    <mergeCell ref="E19:F19"/>
    <mergeCell ref="I22:J22"/>
    <mergeCell ref="I23:J23"/>
    <mergeCell ref="A31:D31"/>
    <mergeCell ref="A32:D32"/>
    <mergeCell ref="I31:J31"/>
    <mergeCell ref="I32:J32"/>
    <mergeCell ref="A30:D30"/>
    <mergeCell ref="E30:F30"/>
    <mergeCell ref="G30:H30"/>
    <mergeCell ref="I30:J30"/>
    <mergeCell ref="A24:D24"/>
    <mergeCell ref="E24:F24"/>
    <mergeCell ref="I33:J33"/>
    <mergeCell ref="E32:F32"/>
    <mergeCell ref="E33:F33"/>
    <mergeCell ref="I28:J29"/>
    <mergeCell ref="A25:D25"/>
    <mergeCell ref="E25:F25"/>
    <mergeCell ref="G28:H29"/>
    <mergeCell ref="E28:F29"/>
    <mergeCell ref="G25:H25"/>
    <mergeCell ref="A28:D29"/>
    <mergeCell ref="A33:D33"/>
    <mergeCell ref="E31:F31"/>
    <mergeCell ref="G31:H31"/>
    <mergeCell ref="G32:H32"/>
    <mergeCell ref="G33:H33"/>
    <mergeCell ref="A12:L12"/>
    <mergeCell ref="A9:L9"/>
    <mergeCell ref="A5:L7"/>
    <mergeCell ref="A11:L11"/>
    <mergeCell ref="A21:D21"/>
    <mergeCell ref="E21:F21"/>
    <mergeCell ref="G21:H21"/>
    <mergeCell ref="I21:J21"/>
    <mergeCell ref="A15:D16"/>
    <mergeCell ref="E15:F16"/>
    <mergeCell ref="G15:H16"/>
    <mergeCell ref="I15:J16"/>
    <mergeCell ref="E17:F17"/>
    <mergeCell ref="G17:H17"/>
    <mergeCell ref="I17:J17"/>
    <mergeCell ref="I20:J20"/>
    <mergeCell ref="A35:D35"/>
    <mergeCell ref="A34:D34"/>
    <mergeCell ref="A36:D36"/>
    <mergeCell ref="A37:D37"/>
    <mergeCell ref="E34:F34"/>
    <mergeCell ref="E37:F37"/>
    <mergeCell ref="G34:H34"/>
    <mergeCell ref="I34:J34"/>
    <mergeCell ref="E35:F35"/>
    <mergeCell ref="G35:H35"/>
    <mergeCell ref="I35:J35"/>
    <mergeCell ref="G37:H37"/>
    <mergeCell ref="I37:J37"/>
    <mergeCell ref="E36:F36"/>
    <mergeCell ref="G36:H36"/>
    <mergeCell ref="I36:J36"/>
  </mergeCells>
  <pageMargins left="0.7" right="0.7" top="0.75" bottom="0.75" header="0.3" footer="0.3"/>
  <pageSetup paperSize="9" scale="64" orientation="portrait" verticalDpi="300" r:id="rId2"/>
  <ignoredErrors>
    <ignoredError sqref="K19:K20 K31:L33 K22:K23 K25:L25 L22:L23 L19:L20 K34:L3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23"/>
  <sheetViews>
    <sheetView zoomScaleNormal="100" workbookViewId="0"/>
  </sheetViews>
  <sheetFormatPr defaultRowHeight="15" x14ac:dyDescent="0.25"/>
  <cols>
    <col min="1" max="4" width="5.7109375" style="62" customWidth="1"/>
    <col min="5" max="5" width="5.28515625" customWidth="1"/>
    <col min="6" max="8" width="8.85546875" customWidth="1"/>
    <col min="9" max="9" width="12" customWidth="1"/>
    <col min="10" max="10" width="12.28515625" customWidth="1"/>
    <col min="11" max="16" width="8.85546875" customWidth="1"/>
    <col min="17" max="17" width="7.85546875" bestFit="1" customWidth="1"/>
    <col min="18" max="20" width="8.85546875" customWidth="1"/>
    <col min="21" max="21" width="13.7109375" bestFit="1" customWidth="1"/>
    <col min="22" max="22" width="8.85546875" customWidth="1"/>
  </cols>
  <sheetData>
    <row r="1" spans="1:18" x14ac:dyDescent="0.25">
      <c r="A1" s="63" t="s">
        <v>195</v>
      </c>
      <c r="B1"/>
      <c r="C1"/>
      <c r="D1"/>
    </row>
    <row r="2" spans="1:18" x14ac:dyDescent="0.25">
      <c r="A2" s="62" t="s">
        <v>12</v>
      </c>
      <c r="B2"/>
      <c r="C2"/>
      <c r="D2"/>
    </row>
    <row r="3" spans="1:18" x14ac:dyDescent="0.25">
      <c r="A3" s="62" t="s">
        <v>196</v>
      </c>
      <c r="B3"/>
      <c r="C3"/>
      <c r="D3"/>
    </row>
    <row r="5" spans="1:18" x14ac:dyDescent="0.25">
      <c r="A5" s="255" t="s">
        <v>144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50"/>
    </row>
    <row r="6" spans="1:18" x14ac:dyDescent="0.25">
      <c r="A6" s="255" t="s">
        <v>146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50"/>
    </row>
    <row r="7" spans="1:18" x14ac:dyDescent="0.25">
      <c r="A7" s="255" t="s">
        <v>145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50"/>
    </row>
    <row r="8" spans="1:18" ht="15.75" thickBot="1" x14ac:dyDescent="0.3"/>
    <row r="9" spans="1:18" ht="15" customHeight="1" x14ac:dyDescent="0.25">
      <c r="A9" s="265" t="s">
        <v>16</v>
      </c>
      <c r="B9" s="389"/>
      <c r="C9" s="389"/>
      <c r="D9" s="389"/>
      <c r="E9" s="389"/>
      <c r="F9" s="389"/>
      <c r="G9" s="389"/>
      <c r="H9" s="389"/>
      <c r="I9" s="266"/>
      <c r="J9" s="265" t="s">
        <v>186</v>
      </c>
      <c r="K9" s="266"/>
      <c r="L9" s="265" t="s">
        <v>267</v>
      </c>
      <c r="M9" s="266"/>
      <c r="N9" s="265" t="s">
        <v>225</v>
      </c>
      <c r="O9" s="266"/>
      <c r="P9" s="17" t="s">
        <v>38</v>
      </c>
      <c r="Q9" s="17" t="s">
        <v>38</v>
      </c>
      <c r="R9" s="2"/>
    </row>
    <row r="10" spans="1:18" x14ac:dyDescent="0.25">
      <c r="A10" s="267"/>
      <c r="B10" s="390"/>
      <c r="C10" s="390"/>
      <c r="D10" s="390"/>
      <c r="E10" s="390"/>
      <c r="F10" s="390"/>
      <c r="G10" s="390"/>
      <c r="H10" s="390"/>
      <c r="I10" s="268"/>
      <c r="J10" s="267"/>
      <c r="K10" s="268"/>
      <c r="L10" s="267"/>
      <c r="M10" s="268"/>
      <c r="N10" s="267"/>
      <c r="O10" s="268"/>
      <c r="P10" s="223" t="s">
        <v>265</v>
      </c>
      <c r="Q10" s="224" t="s">
        <v>264</v>
      </c>
      <c r="R10" s="2"/>
    </row>
    <row r="11" spans="1:18" ht="15.75" thickBot="1" x14ac:dyDescent="0.3">
      <c r="A11" s="384">
        <v>1</v>
      </c>
      <c r="B11" s="385"/>
      <c r="C11" s="385"/>
      <c r="D11" s="385"/>
      <c r="E11" s="385"/>
      <c r="F11" s="385"/>
      <c r="G11" s="385"/>
      <c r="H11" s="385"/>
      <c r="I11" s="391"/>
      <c r="J11" s="384">
        <v>2</v>
      </c>
      <c r="K11" s="385"/>
      <c r="L11" s="384">
        <v>3</v>
      </c>
      <c r="M11" s="385"/>
      <c r="N11" s="384">
        <v>4</v>
      </c>
      <c r="O11" s="385"/>
      <c r="P11" s="18">
        <v>5</v>
      </c>
      <c r="Q11" s="18">
        <v>6</v>
      </c>
      <c r="R11" s="2"/>
    </row>
    <row r="12" spans="1:18" s="62" customFormat="1" x14ac:dyDescent="0.25">
      <c r="A12" s="392" t="s">
        <v>194</v>
      </c>
      <c r="B12" s="393"/>
      <c r="C12" s="393"/>
      <c r="D12" s="393"/>
      <c r="E12" s="393"/>
      <c r="F12" s="393"/>
      <c r="G12" s="393"/>
      <c r="H12" s="393"/>
      <c r="I12" s="394"/>
      <c r="J12" s="82"/>
      <c r="K12" s="83"/>
      <c r="L12" s="84"/>
      <c r="M12" s="83"/>
      <c r="N12" s="84"/>
      <c r="O12" s="83"/>
      <c r="P12" s="85"/>
      <c r="Q12" s="85"/>
      <c r="R12" s="2"/>
    </row>
    <row r="13" spans="1:18" x14ac:dyDescent="0.25">
      <c r="A13" s="94">
        <v>6</v>
      </c>
      <c r="B13" s="89"/>
      <c r="C13" s="89"/>
      <c r="D13" s="95"/>
      <c r="E13" s="400" t="s">
        <v>39</v>
      </c>
      <c r="F13" s="400"/>
      <c r="G13" s="400"/>
      <c r="H13" s="400"/>
      <c r="I13" s="401"/>
      <c r="J13" s="383">
        <f>J14+J30+J34+J41</f>
        <v>2273844.3499999996</v>
      </c>
      <c r="K13" s="383"/>
      <c r="L13" s="369">
        <f>L14+L30+L34+L41</f>
        <v>2511778.65</v>
      </c>
      <c r="M13" s="370"/>
      <c r="N13" s="383">
        <f>N14+N30+N34+N41</f>
        <v>2601397.71</v>
      </c>
      <c r="O13" s="383"/>
      <c r="P13" s="77">
        <f>(N13/J13)*100</f>
        <v>114.40526744937492</v>
      </c>
      <c r="Q13" s="77">
        <f>N13/L13*100</f>
        <v>103.56795213622824</v>
      </c>
      <c r="R13" s="2"/>
    </row>
    <row r="14" spans="1:18" ht="15" customHeight="1" x14ac:dyDescent="0.25">
      <c r="A14" s="96"/>
      <c r="B14" s="90">
        <v>63</v>
      </c>
      <c r="C14" s="91"/>
      <c r="D14" s="97"/>
      <c r="E14" s="398" t="s">
        <v>17</v>
      </c>
      <c r="F14" s="398"/>
      <c r="G14" s="398"/>
      <c r="H14" s="398"/>
      <c r="I14" s="399"/>
      <c r="J14" s="337">
        <f t="shared" ref="J14" si="0">+J16+J22+J24</f>
        <v>2083831.16</v>
      </c>
      <c r="K14" s="338"/>
      <c r="L14" s="333">
        <v>2288130</v>
      </c>
      <c r="M14" s="334"/>
      <c r="N14" s="337">
        <f t="shared" ref="N14" si="1">+N16+N22+N24</f>
        <v>2374094.88</v>
      </c>
      <c r="O14" s="338"/>
      <c r="P14" s="360">
        <f>N14/J14*100</f>
        <v>113.92933005186465</v>
      </c>
      <c r="Q14" s="360">
        <f>N14/L14*100</f>
        <v>103.7569928282047</v>
      </c>
      <c r="R14" s="2"/>
    </row>
    <row r="15" spans="1:18" s="62" customFormat="1" ht="15" customHeight="1" x14ac:dyDescent="0.25">
      <c r="A15" s="98"/>
      <c r="B15" s="92"/>
      <c r="C15" s="93"/>
      <c r="D15" s="99"/>
      <c r="E15" s="398"/>
      <c r="F15" s="398"/>
      <c r="G15" s="398"/>
      <c r="H15" s="398"/>
      <c r="I15" s="399"/>
      <c r="J15" s="339"/>
      <c r="K15" s="340"/>
      <c r="L15" s="335"/>
      <c r="M15" s="336"/>
      <c r="N15" s="339"/>
      <c r="O15" s="340"/>
      <c r="P15" s="361"/>
      <c r="Q15" s="361"/>
      <c r="R15" s="2"/>
    </row>
    <row r="16" spans="1:18" ht="15" customHeight="1" x14ac:dyDescent="0.25">
      <c r="A16" s="96"/>
      <c r="B16" s="90"/>
      <c r="C16" s="91">
        <v>636</v>
      </c>
      <c r="D16" s="104"/>
      <c r="E16" s="402" t="s">
        <v>18</v>
      </c>
      <c r="F16" s="402"/>
      <c r="G16" s="402"/>
      <c r="H16" s="402"/>
      <c r="I16" s="403"/>
      <c r="J16" s="375">
        <f>J18+J20</f>
        <v>2035571.9</v>
      </c>
      <c r="K16" s="376"/>
      <c r="L16" s="341"/>
      <c r="M16" s="342"/>
      <c r="N16" s="375">
        <f>N18+N20</f>
        <v>2165948.88</v>
      </c>
      <c r="O16" s="376"/>
      <c r="P16" s="313">
        <f>N16/J16*100</f>
        <v>106.40493121368004</v>
      </c>
      <c r="Q16" s="313"/>
      <c r="R16" s="2"/>
    </row>
    <row r="17" spans="1:21" x14ac:dyDescent="0.25">
      <c r="A17" s="98"/>
      <c r="B17" s="92"/>
      <c r="C17" s="93"/>
      <c r="D17" s="99"/>
      <c r="E17" s="402"/>
      <c r="F17" s="402"/>
      <c r="G17" s="402"/>
      <c r="H17" s="402"/>
      <c r="I17" s="403"/>
      <c r="J17" s="377"/>
      <c r="K17" s="378"/>
      <c r="L17" s="343"/>
      <c r="M17" s="344"/>
      <c r="N17" s="377"/>
      <c r="O17" s="378"/>
      <c r="P17" s="313"/>
      <c r="Q17" s="313"/>
      <c r="R17" s="2"/>
    </row>
    <row r="18" spans="1:21" x14ac:dyDescent="0.25">
      <c r="A18" s="96"/>
      <c r="B18" s="90"/>
      <c r="C18" s="91"/>
      <c r="D18" s="104">
        <v>6361</v>
      </c>
      <c r="E18" s="404" t="s">
        <v>19</v>
      </c>
      <c r="F18" s="404"/>
      <c r="G18" s="404"/>
      <c r="H18" s="404"/>
      <c r="I18" s="405"/>
      <c r="J18" s="320">
        <v>2034774.9</v>
      </c>
      <c r="K18" s="321"/>
      <c r="L18" s="324"/>
      <c r="M18" s="325"/>
      <c r="N18" s="320">
        <v>2165198.88</v>
      </c>
      <c r="O18" s="321"/>
      <c r="P18" s="313">
        <f>N18/J18*100</f>
        <v>106.4097497959111</v>
      </c>
      <c r="Q18" s="313"/>
      <c r="R18" s="2"/>
    </row>
    <row r="19" spans="1:21" ht="15" customHeight="1" x14ac:dyDescent="0.25">
      <c r="A19" s="98"/>
      <c r="B19" s="92"/>
      <c r="C19" s="93"/>
      <c r="D19" s="99"/>
      <c r="E19" s="406"/>
      <c r="F19" s="406"/>
      <c r="G19" s="406"/>
      <c r="H19" s="406"/>
      <c r="I19" s="407"/>
      <c r="J19" s="322"/>
      <c r="K19" s="323"/>
      <c r="L19" s="326"/>
      <c r="M19" s="327"/>
      <c r="N19" s="322"/>
      <c r="O19" s="323"/>
      <c r="P19" s="313"/>
      <c r="Q19" s="313"/>
      <c r="R19" s="2"/>
      <c r="S19" s="22"/>
    </row>
    <row r="20" spans="1:21" x14ac:dyDescent="0.25">
      <c r="A20" s="96"/>
      <c r="B20" s="90"/>
      <c r="C20" s="91"/>
      <c r="D20" s="104">
        <v>6362</v>
      </c>
      <c r="E20" s="404" t="s">
        <v>20</v>
      </c>
      <c r="F20" s="404"/>
      <c r="G20" s="404"/>
      <c r="H20" s="404"/>
      <c r="I20" s="405"/>
      <c r="J20" s="320">
        <v>797</v>
      </c>
      <c r="K20" s="321"/>
      <c r="L20" s="324"/>
      <c r="M20" s="325"/>
      <c r="N20" s="320">
        <v>750</v>
      </c>
      <c r="O20" s="321"/>
      <c r="P20" s="313">
        <f>N20/J20*100</f>
        <v>94.102885821831876</v>
      </c>
      <c r="Q20" s="313"/>
      <c r="R20" s="2"/>
      <c r="S20" s="22"/>
    </row>
    <row r="21" spans="1:21" ht="15" customHeight="1" x14ac:dyDescent="0.25">
      <c r="A21" s="98"/>
      <c r="B21" s="92"/>
      <c r="C21" s="93"/>
      <c r="D21" s="99"/>
      <c r="E21" s="406"/>
      <c r="F21" s="406"/>
      <c r="G21" s="406"/>
      <c r="H21" s="406"/>
      <c r="I21" s="407"/>
      <c r="J21" s="322"/>
      <c r="K21" s="323"/>
      <c r="L21" s="326"/>
      <c r="M21" s="327"/>
      <c r="N21" s="322"/>
      <c r="O21" s="323"/>
      <c r="P21" s="313"/>
      <c r="Q21" s="313"/>
      <c r="R21" s="2"/>
    </row>
    <row r="22" spans="1:21" x14ac:dyDescent="0.25">
      <c r="A22" s="98"/>
      <c r="B22" s="92"/>
      <c r="C22" s="93">
        <v>638</v>
      </c>
      <c r="D22" s="105"/>
      <c r="E22" s="4" t="s">
        <v>31</v>
      </c>
      <c r="F22" s="4"/>
      <c r="G22" s="4"/>
      <c r="H22" s="4"/>
      <c r="I22" s="11"/>
      <c r="J22" s="302">
        <f t="shared" ref="J22" si="2">J23</f>
        <v>39384</v>
      </c>
      <c r="K22" s="303"/>
      <c r="L22" s="300"/>
      <c r="M22" s="301"/>
      <c r="N22" s="302">
        <f t="shared" ref="N22" si="3">N23</f>
        <v>88888.4</v>
      </c>
      <c r="O22" s="303"/>
      <c r="P22" s="78">
        <f>N22/J22*100</f>
        <v>225.69672963640056</v>
      </c>
      <c r="Q22" s="78"/>
      <c r="R22" s="2"/>
    </row>
    <row r="23" spans="1:21" x14ac:dyDescent="0.25">
      <c r="A23" s="98"/>
      <c r="B23" s="92"/>
      <c r="C23" s="93"/>
      <c r="D23" s="105">
        <v>6381</v>
      </c>
      <c r="E23" s="7" t="s">
        <v>31</v>
      </c>
      <c r="F23" s="7"/>
      <c r="G23" s="7"/>
      <c r="H23" s="7"/>
      <c r="I23" s="13"/>
      <c r="J23" s="373">
        <v>39384</v>
      </c>
      <c r="K23" s="374"/>
      <c r="L23" s="371"/>
      <c r="M23" s="372"/>
      <c r="N23" s="373">
        <v>88888.4</v>
      </c>
      <c r="O23" s="374"/>
      <c r="P23" s="78">
        <f>N23/J23*100</f>
        <v>225.69672963640056</v>
      </c>
      <c r="Q23" s="78"/>
      <c r="R23" s="2"/>
    </row>
    <row r="24" spans="1:21" x14ac:dyDescent="0.25">
      <c r="A24" s="100"/>
      <c r="B24" s="101"/>
      <c r="C24" s="102">
        <v>639</v>
      </c>
      <c r="D24" s="103"/>
      <c r="E24" s="414" t="s">
        <v>121</v>
      </c>
      <c r="F24" s="414"/>
      <c r="G24" s="414"/>
      <c r="H24" s="414"/>
      <c r="I24" s="415"/>
      <c r="J24" s="375">
        <f>J26+J28</f>
        <v>8875.26</v>
      </c>
      <c r="K24" s="376"/>
      <c r="L24" s="341"/>
      <c r="M24" s="342"/>
      <c r="N24" s="375">
        <f>N26+N28</f>
        <v>119257.60000000001</v>
      </c>
      <c r="O24" s="376"/>
      <c r="P24" s="313">
        <f>N24/J24*100</f>
        <v>1343.708240659992</v>
      </c>
      <c r="Q24" s="314"/>
      <c r="R24" s="2"/>
    </row>
    <row r="25" spans="1:21" x14ac:dyDescent="0.25">
      <c r="A25" s="98"/>
      <c r="B25" s="92"/>
      <c r="C25" s="93"/>
      <c r="D25" s="105"/>
      <c r="E25" s="416"/>
      <c r="F25" s="416"/>
      <c r="G25" s="416"/>
      <c r="H25" s="416"/>
      <c r="I25" s="417"/>
      <c r="J25" s="377"/>
      <c r="K25" s="378"/>
      <c r="L25" s="343"/>
      <c r="M25" s="344"/>
      <c r="N25" s="377"/>
      <c r="O25" s="378"/>
      <c r="P25" s="313"/>
      <c r="Q25" s="315"/>
      <c r="R25" s="2"/>
    </row>
    <row r="26" spans="1:21" x14ac:dyDescent="0.25">
      <c r="A26" s="96"/>
      <c r="B26" s="90"/>
      <c r="C26" s="91"/>
      <c r="D26" s="104">
        <v>6391</v>
      </c>
      <c r="E26" s="316" t="s">
        <v>123</v>
      </c>
      <c r="F26" s="316"/>
      <c r="G26" s="316"/>
      <c r="H26" s="316"/>
      <c r="I26" s="317"/>
      <c r="J26" s="320">
        <v>1354.07</v>
      </c>
      <c r="K26" s="321"/>
      <c r="L26" s="324"/>
      <c r="M26" s="325"/>
      <c r="N26" s="320">
        <v>1116.0999999999999</v>
      </c>
      <c r="O26" s="321"/>
      <c r="P26" s="313">
        <f>N26/J26*100</f>
        <v>82.425576225749026</v>
      </c>
      <c r="Q26" s="314"/>
      <c r="R26" s="2"/>
    </row>
    <row r="27" spans="1:21" x14ac:dyDescent="0.25">
      <c r="A27" s="98"/>
      <c r="B27" s="92"/>
      <c r="C27" s="93"/>
      <c r="D27" s="99"/>
      <c r="E27" s="318"/>
      <c r="F27" s="318"/>
      <c r="G27" s="318"/>
      <c r="H27" s="318"/>
      <c r="I27" s="319"/>
      <c r="J27" s="322"/>
      <c r="K27" s="323"/>
      <c r="L27" s="326"/>
      <c r="M27" s="327"/>
      <c r="N27" s="322"/>
      <c r="O27" s="323"/>
      <c r="P27" s="313"/>
      <c r="Q27" s="315"/>
      <c r="R27" s="2"/>
      <c r="T27" s="22"/>
    </row>
    <row r="28" spans="1:21" x14ac:dyDescent="0.25">
      <c r="A28" s="96"/>
      <c r="B28" s="90"/>
      <c r="C28" s="91"/>
      <c r="D28" s="104">
        <v>6393</v>
      </c>
      <c r="E28" s="316" t="s">
        <v>122</v>
      </c>
      <c r="F28" s="316"/>
      <c r="G28" s="316"/>
      <c r="H28" s="316"/>
      <c r="I28" s="317"/>
      <c r="J28" s="320">
        <v>7521.19</v>
      </c>
      <c r="K28" s="321"/>
      <c r="L28" s="324"/>
      <c r="M28" s="325"/>
      <c r="N28" s="320">
        <v>118141.5</v>
      </c>
      <c r="O28" s="321"/>
      <c r="P28" s="313">
        <f>N28/J28*100</f>
        <v>1570.7820172073834</v>
      </c>
      <c r="Q28" s="314"/>
      <c r="R28" s="2"/>
    </row>
    <row r="29" spans="1:21" x14ac:dyDescent="0.25">
      <c r="A29" s="98"/>
      <c r="B29" s="92"/>
      <c r="C29" s="93"/>
      <c r="D29" s="99"/>
      <c r="E29" s="318"/>
      <c r="F29" s="318"/>
      <c r="G29" s="318"/>
      <c r="H29" s="318"/>
      <c r="I29" s="319"/>
      <c r="J29" s="322"/>
      <c r="K29" s="323"/>
      <c r="L29" s="326"/>
      <c r="M29" s="327"/>
      <c r="N29" s="322"/>
      <c r="O29" s="323"/>
      <c r="P29" s="313"/>
      <c r="Q29" s="315"/>
      <c r="R29" s="2"/>
    </row>
    <row r="30" spans="1:21" x14ac:dyDescent="0.25">
      <c r="A30" s="96"/>
      <c r="B30" s="90">
        <v>65</v>
      </c>
      <c r="C30" s="91"/>
      <c r="D30" s="104"/>
      <c r="E30" s="398" t="s">
        <v>21</v>
      </c>
      <c r="F30" s="398"/>
      <c r="G30" s="398"/>
      <c r="H30" s="398"/>
      <c r="I30" s="399"/>
      <c r="J30" s="337">
        <f>J32</f>
        <v>1379.57</v>
      </c>
      <c r="K30" s="338"/>
      <c r="L30" s="333">
        <v>20</v>
      </c>
      <c r="M30" s="334"/>
      <c r="N30" s="337">
        <f>N32</f>
        <v>1157.26</v>
      </c>
      <c r="O30" s="338"/>
      <c r="P30" s="332">
        <f>N30/J30*100</f>
        <v>83.885558543604162</v>
      </c>
      <c r="Q30" s="332">
        <f>N30/L30*100</f>
        <v>5786.3</v>
      </c>
      <c r="R30" s="2"/>
    </row>
    <row r="31" spans="1:21" x14ac:dyDescent="0.25">
      <c r="A31" s="98"/>
      <c r="B31" s="92"/>
      <c r="C31" s="93"/>
      <c r="D31" s="99"/>
      <c r="E31" s="398"/>
      <c r="F31" s="398"/>
      <c r="G31" s="398"/>
      <c r="H31" s="398"/>
      <c r="I31" s="399"/>
      <c r="J31" s="339"/>
      <c r="K31" s="340"/>
      <c r="L31" s="335"/>
      <c r="M31" s="336"/>
      <c r="N31" s="339"/>
      <c r="O31" s="340"/>
      <c r="P31" s="332"/>
      <c r="Q31" s="332"/>
      <c r="R31" s="2"/>
      <c r="U31" s="62"/>
    </row>
    <row r="32" spans="1:21" x14ac:dyDescent="0.25">
      <c r="A32" s="100"/>
      <c r="B32" s="101"/>
      <c r="C32" s="102">
        <v>652</v>
      </c>
      <c r="D32" s="103"/>
      <c r="E32" s="418" t="s">
        <v>22</v>
      </c>
      <c r="F32" s="419"/>
      <c r="G32" s="419"/>
      <c r="H32" s="419"/>
      <c r="I32" s="420"/>
      <c r="J32" s="302">
        <f t="shared" ref="J32" si="4">J33</f>
        <v>1379.57</v>
      </c>
      <c r="K32" s="303"/>
      <c r="L32" s="300"/>
      <c r="M32" s="301"/>
      <c r="N32" s="302">
        <f t="shared" ref="N32" si="5">N33</f>
        <v>1157.26</v>
      </c>
      <c r="O32" s="303"/>
      <c r="P32" s="78">
        <f>N32/J32*100</f>
        <v>83.885558543604162</v>
      </c>
      <c r="Q32" s="78"/>
      <c r="R32" s="2"/>
      <c r="U32" s="62"/>
    </row>
    <row r="33" spans="1:21" x14ac:dyDescent="0.25">
      <c r="A33" s="100"/>
      <c r="B33" s="101"/>
      <c r="C33" s="102"/>
      <c r="D33" s="103">
        <v>6526</v>
      </c>
      <c r="E33" s="421" t="s">
        <v>23</v>
      </c>
      <c r="F33" s="422"/>
      <c r="G33" s="422"/>
      <c r="H33" s="422"/>
      <c r="I33" s="423"/>
      <c r="J33" s="373">
        <v>1379.57</v>
      </c>
      <c r="K33" s="374"/>
      <c r="L33" s="371"/>
      <c r="M33" s="372"/>
      <c r="N33" s="373">
        <v>1157.26</v>
      </c>
      <c r="O33" s="374"/>
      <c r="P33" s="78">
        <f>N33/J33*100</f>
        <v>83.885558543604162</v>
      </c>
      <c r="Q33" s="78"/>
      <c r="R33" s="2"/>
      <c r="T33" s="22"/>
      <c r="U33" s="62"/>
    </row>
    <row r="34" spans="1:21" x14ac:dyDescent="0.25">
      <c r="A34" s="96"/>
      <c r="B34" s="90">
        <v>66</v>
      </c>
      <c r="C34" s="91"/>
      <c r="D34" s="104"/>
      <c r="E34" s="398" t="s">
        <v>32</v>
      </c>
      <c r="F34" s="398"/>
      <c r="G34" s="398"/>
      <c r="H34" s="398"/>
      <c r="I34" s="399"/>
      <c r="J34" s="337">
        <f t="shared" ref="J34" si="6">J36+J38</f>
        <v>21759.279999999999</v>
      </c>
      <c r="K34" s="338"/>
      <c r="L34" s="333">
        <v>7964</v>
      </c>
      <c r="M34" s="334"/>
      <c r="N34" s="337">
        <f t="shared" ref="N34" si="7">N36+N38</f>
        <v>14058.1</v>
      </c>
      <c r="O34" s="338"/>
      <c r="P34" s="332">
        <f>N34/J34*100</f>
        <v>64.607376714670707</v>
      </c>
      <c r="Q34" s="332">
        <f>N34/L34*100</f>
        <v>176.52059266700149</v>
      </c>
      <c r="R34" s="2"/>
      <c r="U34" s="62"/>
    </row>
    <row r="35" spans="1:21" x14ac:dyDescent="0.25">
      <c r="A35" s="98"/>
      <c r="B35" s="92"/>
      <c r="C35" s="93"/>
      <c r="D35" s="99"/>
      <c r="E35" s="398"/>
      <c r="F35" s="398"/>
      <c r="G35" s="398"/>
      <c r="H35" s="398"/>
      <c r="I35" s="399"/>
      <c r="J35" s="339"/>
      <c r="K35" s="340"/>
      <c r="L35" s="335"/>
      <c r="M35" s="336"/>
      <c r="N35" s="339"/>
      <c r="O35" s="340"/>
      <c r="P35" s="332"/>
      <c r="Q35" s="332"/>
      <c r="R35" s="2"/>
      <c r="T35" s="22"/>
      <c r="U35" s="62"/>
    </row>
    <row r="36" spans="1:21" x14ac:dyDescent="0.25">
      <c r="A36" s="98"/>
      <c r="B36" s="92"/>
      <c r="C36" s="93">
        <v>661</v>
      </c>
      <c r="D36" s="105"/>
      <c r="E36" s="4" t="s">
        <v>24</v>
      </c>
      <c r="F36" s="4"/>
      <c r="G36" s="4"/>
      <c r="H36" s="4"/>
      <c r="I36" s="11"/>
      <c r="J36" s="302">
        <f t="shared" ref="J36" si="8">J37</f>
        <v>14919.28</v>
      </c>
      <c r="K36" s="303"/>
      <c r="L36" s="300"/>
      <c r="M36" s="301"/>
      <c r="N36" s="302">
        <f t="shared" ref="N36" si="9">N37</f>
        <v>7021.1</v>
      </c>
      <c r="O36" s="303"/>
      <c r="P36" s="78">
        <f>N36/J36*100</f>
        <v>47.06058201200058</v>
      </c>
      <c r="Q36" s="78"/>
      <c r="R36" s="2"/>
      <c r="U36" s="62"/>
    </row>
    <row r="37" spans="1:21" x14ac:dyDescent="0.25">
      <c r="A37" s="100"/>
      <c r="B37" s="101"/>
      <c r="C37" s="102"/>
      <c r="D37" s="103">
        <v>6615</v>
      </c>
      <c r="E37" s="421" t="s">
        <v>25</v>
      </c>
      <c r="F37" s="422"/>
      <c r="G37" s="422"/>
      <c r="H37" s="422"/>
      <c r="I37" s="423"/>
      <c r="J37" s="373">
        <v>14919.28</v>
      </c>
      <c r="K37" s="374"/>
      <c r="L37" s="371"/>
      <c r="M37" s="372"/>
      <c r="N37" s="373">
        <v>7021.1</v>
      </c>
      <c r="O37" s="374"/>
      <c r="P37" s="205">
        <f>N37/J37*100</f>
        <v>47.06058201200058</v>
      </c>
      <c r="Q37" s="78"/>
      <c r="R37" s="2"/>
      <c r="T37" s="22"/>
      <c r="U37" s="62"/>
    </row>
    <row r="38" spans="1:21" x14ac:dyDescent="0.25">
      <c r="A38" s="96"/>
      <c r="B38" s="90"/>
      <c r="C38" s="91">
        <v>663</v>
      </c>
      <c r="D38" s="104"/>
      <c r="E38" s="402" t="s">
        <v>33</v>
      </c>
      <c r="F38" s="402"/>
      <c r="G38" s="402"/>
      <c r="H38" s="402"/>
      <c r="I38" s="403"/>
      <c r="J38" s="375">
        <f t="shared" ref="J38" si="10">J40</f>
        <v>6840</v>
      </c>
      <c r="K38" s="376"/>
      <c r="L38" s="341"/>
      <c r="M38" s="342"/>
      <c r="N38" s="375">
        <f t="shared" ref="N38" si="11">N40</f>
        <v>7037</v>
      </c>
      <c r="O38" s="376"/>
      <c r="P38" s="313">
        <f>N38/J37*100</f>
        <v>47.167155519569306</v>
      </c>
      <c r="Q38" s="313"/>
      <c r="R38" s="2"/>
    </row>
    <row r="39" spans="1:21" x14ac:dyDescent="0.25">
      <c r="A39" s="98"/>
      <c r="B39" s="92"/>
      <c r="C39" s="93"/>
      <c r="D39" s="99"/>
      <c r="E39" s="402"/>
      <c r="F39" s="402"/>
      <c r="G39" s="402"/>
      <c r="H39" s="402"/>
      <c r="I39" s="403"/>
      <c r="J39" s="377"/>
      <c r="K39" s="378"/>
      <c r="L39" s="343"/>
      <c r="M39" s="344"/>
      <c r="N39" s="377"/>
      <c r="O39" s="378"/>
      <c r="P39" s="313"/>
      <c r="Q39" s="313"/>
      <c r="R39" s="2"/>
    </row>
    <row r="40" spans="1:21" x14ac:dyDescent="0.25">
      <c r="A40" s="98"/>
      <c r="B40" s="92"/>
      <c r="C40" s="93"/>
      <c r="D40" s="105">
        <v>6631</v>
      </c>
      <c r="E40" s="421" t="s">
        <v>26</v>
      </c>
      <c r="F40" s="422"/>
      <c r="G40" s="422"/>
      <c r="H40" s="422"/>
      <c r="I40" s="423"/>
      <c r="J40" s="373">
        <v>6840</v>
      </c>
      <c r="K40" s="374"/>
      <c r="L40" s="371"/>
      <c r="M40" s="372"/>
      <c r="N40" s="373">
        <v>7037</v>
      </c>
      <c r="O40" s="374"/>
      <c r="P40" s="78">
        <f>N40/J40*J38101</f>
        <v>0</v>
      </c>
      <c r="Q40" s="78"/>
      <c r="R40" s="2"/>
    </row>
    <row r="41" spans="1:21" x14ac:dyDescent="0.25">
      <c r="A41" s="96"/>
      <c r="B41" s="90">
        <v>67</v>
      </c>
      <c r="C41" s="91"/>
      <c r="D41" s="104"/>
      <c r="E41" s="398" t="s">
        <v>27</v>
      </c>
      <c r="F41" s="398"/>
      <c r="G41" s="398"/>
      <c r="H41" s="398"/>
      <c r="I41" s="399"/>
      <c r="J41" s="337">
        <f t="shared" ref="J41" si="12">J43</f>
        <v>166874.34</v>
      </c>
      <c r="K41" s="338"/>
      <c r="L41" s="333">
        <v>215664.65</v>
      </c>
      <c r="M41" s="334"/>
      <c r="N41" s="337">
        <f t="shared" ref="N41" si="13">N43</f>
        <v>212087.47</v>
      </c>
      <c r="O41" s="338"/>
      <c r="P41" s="360">
        <f>N41/J41*100</f>
        <v>127.09411764564882</v>
      </c>
      <c r="Q41" s="332">
        <f>N41/L41*100</f>
        <v>98.341322975276668</v>
      </c>
      <c r="R41" s="2"/>
      <c r="T41" s="22"/>
    </row>
    <row r="42" spans="1:21" x14ac:dyDescent="0.25">
      <c r="A42" s="98"/>
      <c r="B42" s="92"/>
      <c r="C42" s="93"/>
      <c r="D42" s="105"/>
      <c r="E42" s="398"/>
      <c r="F42" s="398"/>
      <c r="G42" s="398"/>
      <c r="H42" s="398"/>
      <c r="I42" s="399"/>
      <c r="J42" s="339"/>
      <c r="K42" s="340"/>
      <c r="L42" s="335"/>
      <c r="M42" s="336"/>
      <c r="N42" s="339"/>
      <c r="O42" s="340"/>
      <c r="P42" s="361"/>
      <c r="Q42" s="332"/>
      <c r="R42" s="2"/>
    </row>
    <row r="43" spans="1:21" ht="15" customHeight="1" x14ac:dyDescent="0.25">
      <c r="A43" s="96"/>
      <c r="B43" s="90"/>
      <c r="C43" s="91">
        <v>671</v>
      </c>
      <c r="D43" s="104"/>
      <c r="E43" s="408" t="s">
        <v>28</v>
      </c>
      <c r="F43" s="409"/>
      <c r="G43" s="409"/>
      <c r="H43" s="409"/>
      <c r="I43" s="409"/>
      <c r="J43" s="375">
        <f>J45+J47</f>
        <v>166874.34</v>
      </c>
      <c r="K43" s="376"/>
      <c r="L43" s="341"/>
      <c r="M43" s="342"/>
      <c r="N43" s="375">
        <f>N45+N47</f>
        <v>212087.47</v>
      </c>
      <c r="O43" s="376"/>
      <c r="P43" s="314">
        <f>N43/J43*100</f>
        <v>127.09411764564882</v>
      </c>
      <c r="Q43" s="332"/>
      <c r="R43" s="2"/>
      <c r="T43" s="22"/>
    </row>
    <row r="44" spans="1:21" ht="15" customHeight="1" x14ac:dyDescent="0.25">
      <c r="A44" s="98"/>
      <c r="B44" s="92"/>
      <c r="C44" s="93"/>
      <c r="D44" s="105"/>
      <c r="E44" s="410"/>
      <c r="F44" s="411"/>
      <c r="G44" s="411"/>
      <c r="H44" s="411"/>
      <c r="I44" s="411"/>
      <c r="J44" s="377"/>
      <c r="K44" s="378"/>
      <c r="L44" s="343"/>
      <c r="M44" s="344"/>
      <c r="N44" s="377"/>
      <c r="O44" s="378"/>
      <c r="P44" s="315"/>
      <c r="Q44" s="332"/>
      <c r="R44" s="2"/>
    </row>
    <row r="45" spans="1:21" ht="15" customHeight="1" x14ac:dyDescent="0.25">
      <c r="A45" s="96"/>
      <c r="B45" s="90"/>
      <c r="C45" s="91"/>
      <c r="D45" s="104">
        <v>6711</v>
      </c>
      <c r="E45" s="412" t="s">
        <v>29</v>
      </c>
      <c r="F45" s="404"/>
      <c r="G45" s="404"/>
      <c r="H45" s="404"/>
      <c r="I45" s="404"/>
      <c r="J45" s="320">
        <v>163499.34</v>
      </c>
      <c r="K45" s="321"/>
      <c r="L45" s="324"/>
      <c r="M45" s="325"/>
      <c r="N45" s="320">
        <v>212087.47</v>
      </c>
      <c r="O45" s="321"/>
      <c r="P45" s="314">
        <f>N45/J45*100</f>
        <v>129.71763066444183</v>
      </c>
      <c r="Q45" s="332"/>
      <c r="R45" s="2"/>
      <c r="T45" s="22"/>
    </row>
    <row r="46" spans="1:21" x14ac:dyDescent="0.25">
      <c r="A46" s="98"/>
      <c r="B46" s="92"/>
      <c r="C46" s="93"/>
      <c r="D46" s="105"/>
      <c r="E46" s="413"/>
      <c r="F46" s="406"/>
      <c r="G46" s="406"/>
      <c r="H46" s="406"/>
      <c r="I46" s="406"/>
      <c r="J46" s="322"/>
      <c r="K46" s="323"/>
      <c r="L46" s="326"/>
      <c r="M46" s="327"/>
      <c r="N46" s="322"/>
      <c r="O46" s="323"/>
      <c r="P46" s="315"/>
      <c r="Q46" s="332"/>
      <c r="R46" s="2"/>
      <c r="U46" s="62"/>
    </row>
    <row r="47" spans="1:21" x14ac:dyDescent="0.25">
      <c r="A47" s="96"/>
      <c r="B47" s="90"/>
      <c r="C47" s="91"/>
      <c r="D47" s="104">
        <v>6712</v>
      </c>
      <c r="E47" s="365" t="s">
        <v>34</v>
      </c>
      <c r="F47" s="365"/>
      <c r="G47" s="365"/>
      <c r="H47" s="365"/>
      <c r="I47" s="366"/>
      <c r="J47" s="320">
        <v>3375</v>
      </c>
      <c r="K47" s="321"/>
      <c r="L47" s="324"/>
      <c r="M47" s="325"/>
      <c r="N47" s="320"/>
      <c r="O47" s="321"/>
      <c r="P47" s="314">
        <f>N47/J47*100</f>
        <v>0</v>
      </c>
      <c r="Q47" s="332"/>
      <c r="R47" s="2"/>
      <c r="T47" s="22"/>
      <c r="U47" s="62"/>
    </row>
    <row r="48" spans="1:21" s="62" customFormat="1" x14ac:dyDescent="0.25">
      <c r="A48" s="98"/>
      <c r="B48" s="92"/>
      <c r="C48" s="93"/>
      <c r="D48" s="105"/>
      <c r="E48" s="365"/>
      <c r="F48" s="365"/>
      <c r="G48" s="365"/>
      <c r="H48" s="365"/>
      <c r="I48" s="366"/>
      <c r="J48" s="322"/>
      <c r="K48" s="323"/>
      <c r="L48" s="326"/>
      <c r="M48" s="327"/>
      <c r="N48" s="322"/>
      <c r="O48" s="323"/>
      <c r="P48" s="315"/>
      <c r="Q48" s="332"/>
      <c r="R48" s="2"/>
    </row>
    <row r="49" spans="1:21" s="62" customFormat="1" ht="15.75" customHeight="1" x14ac:dyDescent="0.25">
      <c r="A49" s="113">
        <v>7</v>
      </c>
      <c r="B49" s="107"/>
      <c r="C49" s="107"/>
      <c r="D49" s="108"/>
      <c r="E49" s="6" t="s">
        <v>197</v>
      </c>
      <c r="F49" s="6"/>
      <c r="G49" s="6"/>
      <c r="H49" s="6"/>
      <c r="I49" s="14"/>
      <c r="J49" s="358">
        <f t="shared" ref="J49" si="14">J50</f>
        <v>0</v>
      </c>
      <c r="K49" s="359"/>
      <c r="L49" s="379">
        <f t="shared" ref="L49" si="15">L50</f>
        <v>10</v>
      </c>
      <c r="M49" s="380"/>
      <c r="N49" s="358">
        <f t="shared" ref="N49" si="16">N50</f>
        <v>0</v>
      </c>
      <c r="O49" s="359"/>
      <c r="P49" s="79" t="e">
        <f>N49/J49*100</f>
        <v>#DIV/0!</v>
      </c>
      <c r="Q49" s="79">
        <f>N49/L49*100</f>
        <v>0</v>
      </c>
      <c r="R49" s="2"/>
    </row>
    <row r="50" spans="1:21" s="62" customFormat="1" ht="15" customHeight="1" x14ac:dyDescent="0.25">
      <c r="A50" s="98"/>
      <c r="B50" s="92">
        <v>72</v>
      </c>
      <c r="C50" s="93"/>
      <c r="D50" s="105"/>
      <c r="E50" s="5" t="s">
        <v>198</v>
      </c>
      <c r="F50" s="5"/>
      <c r="G50" s="5"/>
      <c r="H50" s="5"/>
      <c r="I50" s="16"/>
      <c r="J50" s="362">
        <f>J51</f>
        <v>0</v>
      </c>
      <c r="K50" s="363"/>
      <c r="L50" s="381">
        <v>10</v>
      </c>
      <c r="M50" s="382"/>
      <c r="N50" s="362">
        <f>N51</f>
        <v>0</v>
      </c>
      <c r="O50" s="363"/>
      <c r="P50" s="123" t="e">
        <f>N50/J50*100</f>
        <v>#DIV/0!</v>
      </c>
      <c r="Q50" s="123">
        <f>N50/L50*100</f>
        <v>0</v>
      </c>
      <c r="R50" s="2"/>
    </row>
    <row r="51" spans="1:21" s="62" customFormat="1" x14ac:dyDescent="0.25">
      <c r="A51" s="98"/>
      <c r="B51" s="92"/>
      <c r="C51" s="93">
        <v>721</v>
      </c>
      <c r="D51" s="105"/>
      <c r="E51" s="4" t="s">
        <v>199</v>
      </c>
      <c r="F51" s="4"/>
      <c r="G51" s="4"/>
      <c r="H51" s="4"/>
      <c r="I51" s="11"/>
      <c r="J51" s="302">
        <f>J52</f>
        <v>0</v>
      </c>
      <c r="K51" s="303"/>
      <c r="L51" s="300"/>
      <c r="M51" s="301"/>
      <c r="N51" s="302">
        <f>N52</f>
        <v>0</v>
      </c>
      <c r="O51" s="303"/>
      <c r="P51" s="124"/>
      <c r="Q51" s="124"/>
      <c r="R51" s="2"/>
    </row>
    <row r="52" spans="1:21" s="62" customFormat="1" x14ac:dyDescent="0.25">
      <c r="A52" s="98"/>
      <c r="B52" s="92"/>
      <c r="C52" s="93"/>
      <c r="D52" s="105">
        <v>7211</v>
      </c>
      <c r="E52" s="8" t="s">
        <v>229</v>
      </c>
      <c r="F52" s="8"/>
      <c r="G52" s="8"/>
      <c r="H52" s="8"/>
      <c r="I52" s="20"/>
      <c r="J52" s="367"/>
      <c r="K52" s="368"/>
      <c r="L52" s="324"/>
      <c r="M52" s="325"/>
      <c r="N52" s="367"/>
      <c r="O52" s="368"/>
      <c r="P52" s="125"/>
      <c r="Q52" s="125"/>
      <c r="R52" s="2"/>
    </row>
    <row r="53" spans="1:21" s="62" customFormat="1" x14ac:dyDescent="0.25">
      <c r="A53" s="113">
        <v>9</v>
      </c>
      <c r="B53" s="107"/>
      <c r="C53" s="107"/>
      <c r="D53" s="108"/>
      <c r="E53" s="6" t="s">
        <v>30</v>
      </c>
      <c r="F53" s="6"/>
      <c r="G53" s="6"/>
      <c r="H53" s="6"/>
      <c r="I53" s="14"/>
      <c r="J53" s="358">
        <f t="shared" ref="J53" si="17">J54</f>
        <v>28081.59</v>
      </c>
      <c r="K53" s="359"/>
      <c r="L53" s="358">
        <f t="shared" ref="L53" si="18">L54</f>
        <v>54932.639999999999</v>
      </c>
      <c r="M53" s="359"/>
      <c r="N53" s="358">
        <f>N54</f>
        <v>-89765.659999999989</v>
      </c>
      <c r="O53" s="359"/>
      <c r="P53" s="79">
        <f t="shared" ref="P53:P58" si="19">N53/J53*100</f>
        <v>-319.66017593733113</v>
      </c>
      <c r="Q53" s="79">
        <f>N53/L53*100</f>
        <v>-163.41042411214897</v>
      </c>
      <c r="R53" s="2"/>
      <c r="S53"/>
      <c r="T53"/>
      <c r="U53"/>
    </row>
    <row r="54" spans="1:21" s="62" customFormat="1" x14ac:dyDescent="0.25">
      <c r="A54" s="98"/>
      <c r="B54" s="92">
        <v>92</v>
      </c>
      <c r="C54" s="93"/>
      <c r="D54" s="105"/>
      <c r="E54" s="5" t="s">
        <v>35</v>
      </c>
      <c r="F54" s="5"/>
      <c r="G54" s="5"/>
      <c r="H54" s="5"/>
      <c r="I54" s="16"/>
      <c r="J54" s="362">
        <f>J55</f>
        <v>28081.59</v>
      </c>
      <c r="K54" s="363"/>
      <c r="L54" s="381">
        <v>54932.639999999999</v>
      </c>
      <c r="M54" s="382"/>
      <c r="N54" s="362">
        <f>N55</f>
        <v>-89765.659999999989</v>
      </c>
      <c r="O54" s="363"/>
      <c r="P54" s="123">
        <f t="shared" si="19"/>
        <v>-319.66017593733113</v>
      </c>
      <c r="Q54" s="123">
        <f>N54/L54*100</f>
        <v>-163.41042411214897</v>
      </c>
      <c r="R54" s="2"/>
      <c r="S54"/>
      <c r="T54"/>
      <c r="U54"/>
    </row>
    <row r="55" spans="1:21" s="62" customFormat="1" x14ac:dyDescent="0.25">
      <c r="A55" s="98"/>
      <c r="B55" s="92"/>
      <c r="C55" s="93">
        <v>922</v>
      </c>
      <c r="D55" s="105"/>
      <c r="E55" s="4" t="s">
        <v>37</v>
      </c>
      <c r="F55" s="4"/>
      <c r="G55" s="4"/>
      <c r="H55" s="4"/>
      <c r="I55" s="11"/>
      <c r="J55" s="302">
        <f t="shared" ref="J55" si="20">J56+J57</f>
        <v>28081.59</v>
      </c>
      <c r="K55" s="303"/>
      <c r="L55" s="302"/>
      <c r="M55" s="303"/>
      <c r="N55" s="302">
        <f>N56+N57</f>
        <v>-89765.659999999989</v>
      </c>
      <c r="O55" s="303"/>
      <c r="P55" s="124">
        <f t="shared" si="19"/>
        <v>-319.66017593733113</v>
      </c>
      <c r="Q55" s="124"/>
      <c r="R55" s="2"/>
      <c r="S55"/>
      <c r="T55"/>
      <c r="U55"/>
    </row>
    <row r="56" spans="1:21" x14ac:dyDescent="0.25">
      <c r="A56" s="177"/>
      <c r="B56" s="178"/>
      <c r="C56" s="179"/>
      <c r="D56" s="215">
        <v>9221</v>
      </c>
      <c r="E56" s="8" t="s">
        <v>36</v>
      </c>
      <c r="F56" s="8"/>
      <c r="G56" s="8"/>
      <c r="H56" s="8"/>
      <c r="I56" s="20"/>
      <c r="J56" s="306">
        <v>28081.59</v>
      </c>
      <c r="K56" s="364"/>
      <c r="L56" s="308"/>
      <c r="M56" s="424"/>
      <c r="N56" s="306">
        <v>54932.639999999999</v>
      </c>
      <c r="O56" s="364"/>
      <c r="P56" s="80">
        <f t="shared" si="19"/>
        <v>195.6179831697564</v>
      </c>
      <c r="Q56" s="80"/>
      <c r="R56" s="2"/>
    </row>
    <row r="57" spans="1:21" s="62" customFormat="1" ht="15.75" thickBot="1" x14ac:dyDescent="0.3">
      <c r="A57" s="216"/>
      <c r="B57" s="217"/>
      <c r="C57" s="218"/>
      <c r="D57" s="219">
        <v>9222</v>
      </c>
      <c r="E57" s="8" t="s">
        <v>262</v>
      </c>
      <c r="F57" s="8"/>
      <c r="G57" s="8"/>
      <c r="H57" s="8"/>
      <c r="I57" s="20"/>
      <c r="J57" s="367"/>
      <c r="K57" s="368"/>
      <c r="L57" s="320"/>
      <c r="M57" s="321"/>
      <c r="N57" s="320">
        <v>-144698.29999999999</v>
      </c>
      <c r="O57" s="321"/>
      <c r="P57" s="208" t="e">
        <f t="shared" si="19"/>
        <v>#DIV/0!</v>
      </c>
      <c r="Q57" s="208"/>
      <c r="R57" s="2"/>
    </row>
    <row r="58" spans="1:21" ht="15.75" thickBot="1" x14ac:dyDescent="0.3">
      <c r="A58" s="395" t="s">
        <v>133</v>
      </c>
      <c r="B58" s="396"/>
      <c r="C58" s="396"/>
      <c r="D58" s="396"/>
      <c r="E58" s="396"/>
      <c r="F58" s="396"/>
      <c r="G58" s="396"/>
      <c r="H58" s="396"/>
      <c r="I58" s="397"/>
      <c r="J58" s="345">
        <f>J53+J13</f>
        <v>2301925.9399999995</v>
      </c>
      <c r="K58" s="345"/>
      <c r="L58" s="345">
        <f>L53+L13+L49</f>
        <v>2566721.29</v>
      </c>
      <c r="M58" s="345"/>
      <c r="N58" s="345">
        <f>N53+N13</f>
        <v>2511632.0499999998</v>
      </c>
      <c r="O58" s="345"/>
      <c r="P58" s="81">
        <f t="shared" si="19"/>
        <v>109.1100285354967</v>
      </c>
      <c r="Q58" s="81">
        <f>N58/L58*100</f>
        <v>97.853711650944376</v>
      </c>
      <c r="R58" s="2"/>
    </row>
    <row r="59" spans="1:21" ht="15.75" thickBot="1" x14ac:dyDescent="0.3">
      <c r="A59" s="63"/>
      <c r="B59" s="63"/>
      <c r="J59" s="22"/>
      <c r="K59" s="22"/>
      <c r="L59" s="22"/>
      <c r="M59" s="22"/>
      <c r="N59" s="22"/>
      <c r="O59" s="22"/>
      <c r="P59" s="22"/>
      <c r="Q59" s="29"/>
      <c r="R59" s="22"/>
    </row>
    <row r="60" spans="1:21" x14ac:dyDescent="0.25">
      <c r="A60" s="109">
        <v>3</v>
      </c>
      <c r="B60" s="106"/>
      <c r="C60" s="106"/>
      <c r="D60" s="110"/>
      <c r="E60" s="354" t="s">
        <v>40</v>
      </c>
      <c r="F60" s="354"/>
      <c r="G60" s="354"/>
      <c r="H60" s="354"/>
      <c r="I60" s="355"/>
      <c r="J60" s="356">
        <f>J61+J69+J100+J103</f>
        <v>2242054.08</v>
      </c>
      <c r="K60" s="357"/>
      <c r="L60" s="356">
        <f>L61+L69+L100+L103</f>
        <v>2448452.19</v>
      </c>
      <c r="M60" s="357"/>
      <c r="N60" s="356">
        <f>N61+N69+N100+N103</f>
        <v>2627205.96</v>
      </c>
      <c r="O60" s="357"/>
      <c r="P60" s="86">
        <f>(N60/J60)*100</f>
        <v>117.17852764729028</v>
      </c>
      <c r="Q60" s="86">
        <f>N60/L60*100</f>
        <v>107.30068451939019</v>
      </c>
    </row>
    <row r="61" spans="1:21" x14ac:dyDescent="0.25">
      <c r="A61" s="98"/>
      <c r="B61" s="92">
        <v>31</v>
      </c>
      <c r="C61" s="93"/>
      <c r="D61" s="111"/>
      <c r="E61" s="5" t="s">
        <v>42</v>
      </c>
      <c r="F61" s="5"/>
      <c r="G61" s="5"/>
      <c r="H61" s="5"/>
      <c r="I61" s="16"/>
      <c r="J61" s="294">
        <f>J62+J65+J67</f>
        <v>2057406.8000000003</v>
      </c>
      <c r="K61" s="295"/>
      <c r="L61" s="304">
        <v>2112426.17</v>
      </c>
      <c r="M61" s="305"/>
      <c r="N61" s="294">
        <f>N62+N65+N67</f>
        <v>2368049.19</v>
      </c>
      <c r="O61" s="295"/>
      <c r="P61" s="87">
        <f t="shared" ref="P61:P93" si="21">N61/J61*100</f>
        <v>115.09873448459487</v>
      </c>
      <c r="Q61" s="87">
        <f>N61/L61*100</f>
        <v>112.10092090461083</v>
      </c>
      <c r="R61" s="2"/>
    </row>
    <row r="62" spans="1:21" ht="15" customHeight="1" x14ac:dyDescent="0.25">
      <c r="A62" s="98"/>
      <c r="B62" s="92"/>
      <c r="C62" s="93">
        <v>311</v>
      </c>
      <c r="D62" s="111"/>
      <c r="E62" s="4" t="s">
        <v>43</v>
      </c>
      <c r="F62" s="4"/>
      <c r="G62" s="4"/>
      <c r="H62" s="4"/>
      <c r="I62" s="11"/>
      <c r="J62" s="296">
        <f>J63+J64</f>
        <v>1704781.62</v>
      </c>
      <c r="K62" s="346"/>
      <c r="L62" s="298"/>
      <c r="M62" s="347"/>
      <c r="N62" s="296">
        <f>N63+N64</f>
        <v>1975037.1700000002</v>
      </c>
      <c r="O62" s="297"/>
      <c r="P62" s="88">
        <f t="shared" si="21"/>
        <v>115.85279585545977</v>
      </c>
      <c r="Q62" s="88"/>
      <c r="R62" s="2"/>
    </row>
    <row r="63" spans="1:21" x14ac:dyDescent="0.25">
      <c r="A63" s="98"/>
      <c r="B63" s="92"/>
      <c r="C63" s="93"/>
      <c r="D63" s="111">
        <v>3111</v>
      </c>
      <c r="E63" s="7" t="s">
        <v>44</v>
      </c>
      <c r="F63" s="7"/>
      <c r="G63" s="4"/>
      <c r="H63" s="4"/>
      <c r="I63" s="11"/>
      <c r="J63" s="306">
        <f>1704781.62-J64</f>
        <v>1696126.06</v>
      </c>
      <c r="K63" s="307"/>
      <c r="L63" s="308"/>
      <c r="M63" s="309"/>
      <c r="N63" s="306">
        <v>1969557.87</v>
      </c>
      <c r="O63" s="307"/>
      <c r="P63" s="88">
        <f t="shared" si="21"/>
        <v>116.12096037248551</v>
      </c>
      <c r="Q63" s="88"/>
      <c r="R63" s="2"/>
    </row>
    <row r="64" spans="1:21" s="62" customFormat="1" x14ac:dyDescent="0.25">
      <c r="A64" s="98"/>
      <c r="B64" s="92"/>
      <c r="C64" s="93"/>
      <c r="D64" s="111">
        <v>3113</v>
      </c>
      <c r="E64" s="425" t="s">
        <v>200</v>
      </c>
      <c r="F64" s="422"/>
      <c r="G64" s="422"/>
      <c r="H64" s="422"/>
      <c r="I64" s="423"/>
      <c r="J64" s="306">
        <v>8655.56</v>
      </c>
      <c r="K64" s="307"/>
      <c r="L64" s="308"/>
      <c r="M64" s="309"/>
      <c r="N64" s="306">
        <v>5479.3</v>
      </c>
      <c r="O64" s="307"/>
      <c r="P64" s="88">
        <f t="shared" si="21"/>
        <v>63.303818585972493</v>
      </c>
      <c r="Q64" s="88"/>
      <c r="R64" s="2"/>
    </row>
    <row r="65" spans="1:18" x14ac:dyDescent="0.25">
      <c r="A65" s="98"/>
      <c r="B65" s="92"/>
      <c r="C65" s="93">
        <v>312</v>
      </c>
      <c r="D65" s="111"/>
      <c r="E65" s="4" t="s">
        <v>45</v>
      </c>
      <c r="F65" s="4"/>
      <c r="G65" s="4"/>
      <c r="H65" s="4"/>
      <c r="I65" s="11"/>
      <c r="J65" s="296">
        <f t="shared" ref="J65" si="22">J66</f>
        <v>73802.37</v>
      </c>
      <c r="K65" s="297"/>
      <c r="L65" s="298"/>
      <c r="M65" s="299"/>
      <c r="N65" s="296">
        <f t="shared" ref="N65" si="23">N66</f>
        <v>67031.44</v>
      </c>
      <c r="O65" s="297"/>
      <c r="P65" s="88">
        <f t="shared" si="21"/>
        <v>90.825592728255216</v>
      </c>
      <c r="Q65" s="88"/>
      <c r="R65" s="2"/>
    </row>
    <row r="66" spans="1:18" x14ac:dyDescent="0.25">
      <c r="A66" s="98"/>
      <c r="B66" s="92"/>
      <c r="C66" s="93"/>
      <c r="D66" s="111">
        <v>3121</v>
      </c>
      <c r="E66" s="7" t="s">
        <v>45</v>
      </c>
      <c r="F66" s="7"/>
      <c r="G66" s="7"/>
      <c r="H66" s="4"/>
      <c r="I66" s="11"/>
      <c r="J66" s="306">
        <v>73802.37</v>
      </c>
      <c r="K66" s="307"/>
      <c r="L66" s="308"/>
      <c r="M66" s="309"/>
      <c r="N66" s="306">
        <v>67031.44</v>
      </c>
      <c r="O66" s="307"/>
      <c r="P66" s="88">
        <f t="shared" si="21"/>
        <v>90.825592728255216</v>
      </c>
      <c r="Q66" s="88"/>
      <c r="R66" s="2"/>
    </row>
    <row r="67" spans="1:18" x14ac:dyDescent="0.25">
      <c r="A67" s="98"/>
      <c r="B67" s="92"/>
      <c r="C67" s="93">
        <v>313</v>
      </c>
      <c r="D67" s="111"/>
      <c r="E67" s="4" t="s">
        <v>46</v>
      </c>
      <c r="F67" s="4"/>
      <c r="G67" s="4"/>
      <c r="H67" s="4"/>
      <c r="I67" s="11"/>
      <c r="J67" s="296">
        <f>SUM(J68)</f>
        <v>278822.81</v>
      </c>
      <c r="K67" s="297"/>
      <c r="L67" s="298"/>
      <c r="M67" s="299"/>
      <c r="N67" s="296">
        <f>SUM(N68)</f>
        <v>325980.58</v>
      </c>
      <c r="O67" s="297"/>
      <c r="P67" s="88">
        <f t="shared" si="21"/>
        <v>116.91316790043112</v>
      </c>
      <c r="Q67" s="88"/>
      <c r="R67" s="2"/>
    </row>
    <row r="68" spans="1:18" x14ac:dyDescent="0.25">
      <c r="A68" s="98"/>
      <c r="B68" s="92"/>
      <c r="C68" s="93"/>
      <c r="D68" s="111">
        <v>3132</v>
      </c>
      <c r="E68" s="7" t="s">
        <v>47</v>
      </c>
      <c r="F68" s="7"/>
      <c r="G68" s="7"/>
      <c r="H68" s="7"/>
      <c r="I68" s="13"/>
      <c r="J68" s="306">
        <v>278822.81</v>
      </c>
      <c r="K68" s="307"/>
      <c r="L68" s="308"/>
      <c r="M68" s="424"/>
      <c r="N68" s="306">
        <v>325980.58</v>
      </c>
      <c r="O68" s="307"/>
      <c r="P68" s="88">
        <f t="shared" si="21"/>
        <v>116.91316790043112</v>
      </c>
      <c r="Q68" s="88"/>
      <c r="R68" s="2"/>
    </row>
    <row r="69" spans="1:18" x14ac:dyDescent="0.25">
      <c r="A69" s="98"/>
      <c r="B69" s="92">
        <v>32</v>
      </c>
      <c r="C69" s="93"/>
      <c r="D69" s="111"/>
      <c r="E69" s="5" t="s">
        <v>48</v>
      </c>
      <c r="F69" s="5"/>
      <c r="G69" s="5"/>
      <c r="H69" s="5"/>
      <c r="I69" s="16"/>
      <c r="J69" s="294">
        <f t="shared" ref="J69" si="24">J70+J75+J82+J92</f>
        <v>181036</v>
      </c>
      <c r="K69" s="295"/>
      <c r="L69" s="304">
        <v>316390.98</v>
      </c>
      <c r="M69" s="305"/>
      <c r="N69" s="294">
        <f t="shared" ref="N69" si="25">N70+N75+N82+N92</f>
        <v>251488.13000000003</v>
      </c>
      <c r="O69" s="295"/>
      <c r="P69" s="87">
        <f t="shared" si="21"/>
        <v>138.91608851278201</v>
      </c>
      <c r="Q69" s="87">
        <f>N69/L69*100</f>
        <v>79.486504324491193</v>
      </c>
      <c r="R69" s="2"/>
    </row>
    <row r="70" spans="1:18" x14ac:dyDescent="0.25">
      <c r="A70" s="98"/>
      <c r="B70" s="92"/>
      <c r="C70" s="93">
        <v>321</v>
      </c>
      <c r="D70" s="111"/>
      <c r="E70" s="4" t="s">
        <v>49</v>
      </c>
      <c r="F70" s="4"/>
      <c r="G70" s="4"/>
      <c r="H70" s="4"/>
      <c r="I70" s="11"/>
      <c r="J70" s="296">
        <f t="shared" ref="J70" si="26">J71+J72+J73+J74</f>
        <v>53269.71</v>
      </c>
      <c r="K70" s="297"/>
      <c r="L70" s="298"/>
      <c r="M70" s="299"/>
      <c r="N70" s="296">
        <f t="shared" ref="N70" si="27">N71+N72+N73+N74</f>
        <v>63579.220000000008</v>
      </c>
      <c r="O70" s="297"/>
      <c r="P70" s="88">
        <f t="shared" si="21"/>
        <v>119.35341866888334</v>
      </c>
      <c r="Q70" s="88"/>
      <c r="R70" s="2"/>
    </row>
    <row r="71" spans="1:18" x14ac:dyDescent="0.25">
      <c r="A71" s="98"/>
      <c r="B71" s="92"/>
      <c r="C71" s="93"/>
      <c r="D71" s="111">
        <v>3211</v>
      </c>
      <c r="E71" s="7" t="s">
        <v>50</v>
      </c>
      <c r="F71" s="7"/>
      <c r="G71" s="7"/>
      <c r="H71" s="7"/>
      <c r="I71" s="13"/>
      <c r="J71" s="306">
        <v>18960.63</v>
      </c>
      <c r="K71" s="307"/>
      <c r="L71" s="308"/>
      <c r="M71" s="309"/>
      <c r="N71" s="306">
        <v>23986.51</v>
      </c>
      <c r="O71" s="307"/>
      <c r="P71" s="88">
        <f t="shared" si="21"/>
        <v>126.50692513909082</v>
      </c>
      <c r="Q71" s="88"/>
      <c r="R71" s="2"/>
    </row>
    <row r="72" spans="1:18" x14ac:dyDescent="0.25">
      <c r="A72" s="98"/>
      <c r="B72" s="92"/>
      <c r="C72" s="93"/>
      <c r="D72" s="111">
        <v>3212</v>
      </c>
      <c r="E72" s="7" t="s">
        <v>51</v>
      </c>
      <c r="F72" s="7"/>
      <c r="G72" s="7"/>
      <c r="H72" s="7"/>
      <c r="I72" s="13"/>
      <c r="J72" s="306">
        <v>32940.68</v>
      </c>
      <c r="K72" s="307"/>
      <c r="L72" s="308"/>
      <c r="M72" s="309"/>
      <c r="N72" s="306">
        <v>37544.980000000003</v>
      </c>
      <c r="O72" s="307"/>
      <c r="P72" s="88">
        <f t="shared" si="21"/>
        <v>113.97754994735993</v>
      </c>
      <c r="Q72" s="88"/>
      <c r="R72" s="2"/>
    </row>
    <row r="73" spans="1:18" x14ac:dyDescent="0.25">
      <c r="A73" s="98"/>
      <c r="B73" s="92"/>
      <c r="C73" s="93"/>
      <c r="D73" s="111">
        <v>3213</v>
      </c>
      <c r="E73" s="7" t="s">
        <v>52</v>
      </c>
      <c r="F73" s="7"/>
      <c r="G73" s="7"/>
      <c r="H73" s="7"/>
      <c r="I73" s="13"/>
      <c r="J73" s="306">
        <v>150</v>
      </c>
      <c r="K73" s="307"/>
      <c r="L73" s="308"/>
      <c r="M73" s="309"/>
      <c r="N73" s="306">
        <v>620</v>
      </c>
      <c r="O73" s="307"/>
      <c r="P73" s="88">
        <f t="shared" si="21"/>
        <v>413.33333333333337</v>
      </c>
      <c r="Q73" s="88"/>
      <c r="R73" s="2"/>
    </row>
    <row r="74" spans="1:18" x14ac:dyDescent="0.25">
      <c r="A74" s="98"/>
      <c r="B74" s="92"/>
      <c r="C74" s="93"/>
      <c r="D74" s="111">
        <v>3214</v>
      </c>
      <c r="E74" s="7" t="s">
        <v>80</v>
      </c>
      <c r="F74" s="7"/>
      <c r="G74" s="7"/>
      <c r="H74" s="7"/>
      <c r="I74" s="13"/>
      <c r="J74" s="306">
        <v>1218.4000000000001</v>
      </c>
      <c r="K74" s="307"/>
      <c r="L74" s="308"/>
      <c r="M74" s="309"/>
      <c r="N74" s="306">
        <v>1427.73</v>
      </c>
      <c r="O74" s="307"/>
      <c r="P74" s="88">
        <f t="shared" si="21"/>
        <v>117.1807288246881</v>
      </c>
      <c r="Q74" s="88"/>
      <c r="R74" s="2"/>
    </row>
    <row r="75" spans="1:18" x14ac:dyDescent="0.25">
      <c r="A75" s="98"/>
      <c r="B75" s="92"/>
      <c r="C75" s="93">
        <v>322</v>
      </c>
      <c r="D75" s="111"/>
      <c r="E75" s="4" t="s">
        <v>53</v>
      </c>
      <c r="F75" s="4"/>
      <c r="G75" s="4"/>
      <c r="H75" s="4"/>
      <c r="I75" s="11"/>
      <c r="J75" s="296">
        <f t="shared" ref="J75" si="28">J76+J77+J78+J79+J80+J81</f>
        <v>48003.599999999991</v>
      </c>
      <c r="K75" s="297"/>
      <c r="L75" s="296"/>
      <c r="M75" s="297"/>
      <c r="N75" s="296">
        <f t="shared" ref="N75" si="29">N76+N77+N78+N79+N80+N81</f>
        <v>62697.01</v>
      </c>
      <c r="O75" s="297"/>
      <c r="P75" s="88">
        <f t="shared" si="21"/>
        <v>130.60897516019634</v>
      </c>
      <c r="Q75" s="88"/>
      <c r="R75" s="2"/>
    </row>
    <row r="76" spans="1:18" x14ac:dyDescent="0.25">
      <c r="A76" s="98"/>
      <c r="B76" s="92"/>
      <c r="C76" s="93"/>
      <c r="D76" s="111">
        <v>3221</v>
      </c>
      <c r="E76" s="7" t="s">
        <v>54</v>
      </c>
      <c r="F76" s="7"/>
      <c r="G76" s="7"/>
      <c r="H76" s="7"/>
      <c r="I76" s="13"/>
      <c r="J76" s="306">
        <v>17568.75</v>
      </c>
      <c r="K76" s="307"/>
      <c r="L76" s="308"/>
      <c r="M76" s="309"/>
      <c r="N76" s="306">
        <v>20131.03</v>
      </c>
      <c r="O76" s="307"/>
      <c r="P76" s="88">
        <f t="shared" si="21"/>
        <v>114.58430451796514</v>
      </c>
      <c r="Q76" s="88"/>
      <c r="R76" s="2"/>
    </row>
    <row r="77" spans="1:18" x14ac:dyDescent="0.25">
      <c r="A77" s="98"/>
      <c r="B77" s="92"/>
      <c r="C77" s="93"/>
      <c r="D77" s="111">
        <v>3222</v>
      </c>
      <c r="E77" s="7" t="s">
        <v>81</v>
      </c>
      <c r="F77" s="7"/>
      <c r="G77" s="7"/>
      <c r="H77" s="7"/>
      <c r="I77" s="13"/>
      <c r="J77" s="306">
        <v>2215.11</v>
      </c>
      <c r="K77" s="307"/>
      <c r="L77" s="308"/>
      <c r="M77" s="309"/>
      <c r="N77" s="306">
        <v>4864.59</v>
      </c>
      <c r="O77" s="307"/>
      <c r="P77" s="88">
        <f t="shared" si="21"/>
        <v>219.60940991643753</v>
      </c>
      <c r="Q77" s="88"/>
      <c r="R77" s="2"/>
    </row>
    <row r="78" spans="1:18" x14ac:dyDescent="0.25">
      <c r="A78" s="98"/>
      <c r="B78" s="92"/>
      <c r="C78" s="93"/>
      <c r="D78" s="111">
        <v>3223</v>
      </c>
      <c r="E78" s="7" t="s">
        <v>55</v>
      </c>
      <c r="F78" s="7"/>
      <c r="G78" s="7"/>
      <c r="H78" s="7"/>
      <c r="I78" s="13"/>
      <c r="J78" s="306">
        <v>25041.98</v>
      </c>
      <c r="K78" s="307"/>
      <c r="L78" s="308"/>
      <c r="M78" s="309"/>
      <c r="N78" s="306">
        <v>31739.93</v>
      </c>
      <c r="O78" s="307"/>
      <c r="P78" s="88">
        <f t="shared" si="21"/>
        <v>126.74688662797431</v>
      </c>
      <c r="Q78" s="88"/>
      <c r="R78" s="2"/>
    </row>
    <row r="79" spans="1:18" x14ac:dyDescent="0.25">
      <c r="A79" s="98"/>
      <c r="B79" s="92"/>
      <c r="C79" s="93"/>
      <c r="D79" s="111">
        <v>3224</v>
      </c>
      <c r="E79" s="7" t="s">
        <v>56</v>
      </c>
      <c r="F79" s="7"/>
      <c r="G79" s="7"/>
      <c r="H79" s="7"/>
      <c r="I79" s="13"/>
      <c r="J79" s="306">
        <v>1509.59</v>
      </c>
      <c r="K79" s="307"/>
      <c r="L79" s="308"/>
      <c r="M79" s="309"/>
      <c r="N79" s="306">
        <v>3414.68</v>
      </c>
      <c r="O79" s="307"/>
      <c r="P79" s="88">
        <f t="shared" si="21"/>
        <v>226.19916666114639</v>
      </c>
      <c r="Q79" s="88"/>
      <c r="R79" s="2"/>
    </row>
    <row r="80" spans="1:18" x14ac:dyDescent="0.25">
      <c r="A80" s="98"/>
      <c r="B80" s="92"/>
      <c r="C80" s="93"/>
      <c r="D80" s="111">
        <v>3225</v>
      </c>
      <c r="E80" s="7" t="s">
        <v>57</v>
      </c>
      <c r="F80" s="7"/>
      <c r="G80" s="7"/>
      <c r="H80" s="7"/>
      <c r="I80" s="13"/>
      <c r="J80" s="306">
        <v>868.11</v>
      </c>
      <c r="K80" s="307"/>
      <c r="L80" s="308"/>
      <c r="M80" s="309"/>
      <c r="N80" s="306">
        <v>1620.08</v>
      </c>
      <c r="O80" s="307"/>
      <c r="P80" s="88">
        <f t="shared" si="21"/>
        <v>186.62151109882387</v>
      </c>
      <c r="Q80" s="88"/>
      <c r="R80" s="2"/>
    </row>
    <row r="81" spans="1:18" x14ac:dyDescent="0.25">
      <c r="A81" s="98"/>
      <c r="B81" s="92"/>
      <c r="C81" s="93"/>
      <c r="D81" s="111">
        <v>3227</v>
      </c>
      <c r="E81" s="7" t="s">
        <v>58</v>
      </c>
      <c r="F81" s="7"/>
      <c r="G81" s="7"/>
      <c r="H81" s="7"/>
      <c r="I81" s="13"/>
      <c r="J81" s="306">
        <v>800.06</v>
      </c>
      <c r="K81" s="307"/>
      <c r="L81" s="308"/>
      <c r="M81" s="309"/>
      <c r="N81" s="306">
        <v>926.7</v>
      </c>
      <c r="O81" s="307"/>
      <c r="P81" s="88">
        <f t="shared" si="21"/>
        <v>115.82881283903707</v>
      </c>
      <c r="Q81" s="88"/>
      <c r="R81" s="2"/>
    </row>
    <row r="82" spans="1:18" x14ac:dyDescent="0.25">
      <c r="A82" s="98"/>
      <c r="B82" s="92"/>
      <c r="C82" s="93">
        <v>323</v>
      </c>
      <c r="D82" s="111"/>
      <c r="E82" s="4" t="s">
        <v>59</v>
      </c>
      <c r="F82" s="4"/>
      <c r="G82" s="4"/>
      <c r="H82" s="4"/>
      <c r="I82" s="11"/>
      <c r="J82" s="296">
        <f t="shared" ref="J82" si="30">J83+J84+J85+J86+J87+J88+J89+J90+J91</f>
        <v>47435.76</v>
      </c>
      <c r="K82" s="297"/>
      <c r="L82" s="296"/>
      <c r="M82" s="297"/>
      <c r="N82" s="296">
        <f t="shared" ref="N82" si="31">N83+N84+N85+N86+N87+N88+N89+N90+N91</f>
        <v>57113.680000000008</v>
      </c>
      <c r="O82" s="297"/>
      <c r="P82" s="88">
        <f t="shared" si="21"/>
        <v>120.40216073274679</v>
      </c>
      <c r="Q82" s="88"/>
      <c r="R82" s="2"/>
    </row>
    <row r="83" spans="1:18" x14ac:dyDescent="0.25">
      <c r="A83" s="98"/>
      <c r="B83" s="92"/>
      <c r="C83" s="93"/>
      <c r="D83" s="111">
        <v>3231</v>
      </c>
      <c r="E83" s="7" t="s">
        <v>60</v>
      </c>
      <c r="F83" s="7"/>
      <c r="G83" s="7"/>
      <c r="H83" s="7"/>
      <c r="I83" s="13"/>
      <c r="J83" s="306">
        <v>7314.7</v>
      </c>
      <c r="K83" s="307"/>
      <c r="L83" s="308"/>
      <c r="M83" s="309"/>
      <c r="N83" s="306">
        <v>5160.2</v>
      </c>
      <c r="O83" s="307"/>
      <c r="P83" s="88">
        <f t="shared" si="21"/>
        <v>70.545613627353134</v>
      </c>
      <c r="Q83" s="88"/>
      <c r="R83" s="2"/>
    </row>
    <row r="84" spans="1:18" x14ac:dyDescent="0.25">
      <c r="A84" s="98"/>
      <c r="B84" s="92"/>
      <c r="C84" s="93"/>
      <c r="D84" s="111">
        <v>3232</v>
      </c>
      <c r="E84" s="7" t="s">
        <v>61</v>
      </c>
      <c r="F84" s="7"/>
      <c r="G84" s="7"/>
      <c r="H84" s="7"/>
      <c r="I84" s="13"/>
      <c r="J84" s="306">
        <v>6525.36</v>
      </c>
      <c r="K84" s="307"/>
      <c r="L84" s="308"/>
      <c r="M84" s="309"/>
      <c r="N84" s="306">
        <v>13463.58</v>
      </c>
      <c r="O84" s="307"/>
      <c r="P84" s="88">
        <f t="shared" si="21"/>
        <v>206.32700724557728</v>
      </c>
      <c r="Q84" s="88"/>
      <c r="R84" s="2"/>
    </row>
    <row r="85" spans="1:18" x14ac:dyDescent="0.25">
      <c r="A85" s="98"/>
      <c r="B85" s="92"/>
      <c r="C85" s="93"/>
      <c r="D85" s="111">
        <v>3233</v>
      </c>
      <c r="E85" s="7" t="s">
        <v>83</v>
      </c>
      <c r="F85" s="7"/>
      <c r="G85" s="7"/>
      <c r="H85" s="7"/>
      <c r="I85" s="13"/>
      <c r="J85" s="306">
        <v>254.88</v>
      </c>
      <c r="K85" s="307"/>
      <c r="L85" s="308"/>
      <c r="M85" s="309"/>
      <c r="N85" s="306"/>
      <c r="O85" s="307"/>
      <c r="P85" s="88">
        <f t="shared" si="21"/>
        <v>0</v>
      </c>
      <c r="Q85" s="88"/>
      <c r="R85" s="2"/>
    </row>
    <row r="86" spans="1:18" x14ac:dyDescent="0.25">
      <c r="A86" s="98"/>
      <c r="B86" s="92"/>
      <c r="C86" s="93"/>
      <c r="D86" s="111">
        <v>3234</v>
      </c>
      <c r="E86" s="7" t="s">
        <v>82</v>
      </c>
      <c r="F86" s="7"/>
      <c r="G86" s="7"/>
      <c r="H86" s="7"/>
      <c r="I86" s="13"/>
      <c r="J86" s="306">
        <v>7166.44</v>
      </c>
      <c r="K86" s="307"/>
      <c r="L86" s="308"/>
      <c r="M86" s="309"/>
      <c r="N86" s="306">
        <v>6629.63</v>
      </c>
      <c r="O86" s="307"/>
      <c r="P86" s="88">
        <f t="shared" si="21"/>
        <v>92.509390994691927</v>
      </c>
      <c r="Q86" s="88"/>
      <c r="R86" s="2"/>
    </row>
    <row r="87" spans="1:18" x14ac:dyDescent="0.25">
      <c r="A87" s="98"/>
      <c r="B87" s="92"/>
      <c r="C87" s="93"/>
      <c r="D87" s="111">
        <v>3235</v>
      </c>
      <c r="E87" s="7" t="s">
        <v>62</v>
      </c>
      <c r="F87" s="7"/>
      <c r="G87" s="7"/>
      <c r="H87" s="7"/>
      <c r="I87" s="13"/>
      <c r="J87" s="306">
        <v>5558.95</v>
      </c>
      <c r="K87" s="307"/>
      <c r="L87" s="308"/>
      <c r="M87" s="309"/>
      <c r="N87" s="306">
        <v>7294.05</v>
      </c>
      <c r="O87" s="307"/>
      <c r="P87" s="88">
        <f t="shared" si="21"/>
        <v>131.21272902256723</v>
      </c>
      <c r="Q87" s="88"/>
      <c r="R87" s="2"/>
    </row>
    <row r="88" spans="1:18" x14ac:dyDescent="0.25">
      <c r="A88" s="98"/>
      <c r="B88" s="92"/>
      <c r="C88" s="93"/>
      <c r="D88" s="111">
        <v>3236</v>
      </c>
      <c r="E88" s="7" t="s">
        <v>63</v>
      </c>
      <c r="F88" s="7"/>
      <c r="G88" s="7"/>
      <c r="H88" s="7"/>
      <c r="I88" s="13"/>
      <c r="J88" s="306">
        <v>6290</v>
      </c>
      <c r="K88" s="307"/>
      <c r="L88" s="308"/>
      <c r="M88" s="309"/>
      <c r="N88" s="306">
        <v>4320</v>
      </c>
      <c r="O88" s="307"/>
      <c r="P88" s="88">
        <f t="shared" si="21"/>
        <v>68.680445151033382</v>
      </c>
      <c r="Q88" s="88"/>
      <c r="R88" s="2"/>
    </row>
    <row r="89" spans="1:18" x14ac:dyDescent="0.25">
      <c r="A89" s="98"/>
      <c r="B89" s="92"/>
      <c r="C89" s="93"/>
      <c r="D89" s="111">
        <v>3237</v>
      </c>
      <c r="E89" s="7" t="s">
        <v>64</v>
      </c>
      <c r="F89" s="7"/>
      <c r="G89" s="7"/>
      <c r="H89" s="7"/>
      <c r="I89" s="13"/>
      <c r="J89" s="306">
        <v>6915.28</v>
      </c>
      <c r="K89" s="307"/>
      <c r="L89" s="308"/>
      <c r="M89" s="309"/>
      <c r="N89" s="306">
        <v>9992.4</v>
      </c>
      <c r="O89" s="307"/>
      <c r="P89" s="88">
        <f t="shared" si="21"/>
        <v>144.49740285281288</v>
      </c>
      <c r="Q89" s="88"/>
      <c r="R89" s="2"/>
    </row>
    <row r="90" spans="1:18" x14ac:dyDescent="0.25">
      <c r="A90" s="98"/>
      <c r="B90" s="92"/>
      <c r="C90" s="93"/>
      <c r="D90" s="111">
        <v>3238</v>
      </c>
      <c r="E90" s="7" t="s">
        <v>65</v>
      </c>
      <c r="F90" s="7"/>
      <c r="G90" s="7"/>
      <c r="H90" s="7"/>
      <c r="I90" s="13"/>
      <c r="J90" s="306">
        <v>4296.91</v>
      </c>
      <c r="K90" s="307"/>
      <c r="L90" s="308"/>
      <c r="M90" s="309"/>
      <c r="N90" s="306">
        <v>5589.27</v>
      </c>
      <c r="O90" s="307"/>
      <c r="P90" s="88">
        <f t="shared" si="21"/>
        <v>130.07649683144399</v>
      </c>
      <c r="Q90" s="88"/>
      <c r="R90" s="2"/>
    </row>
    <row r="91" spans="1:18" x14ac:dyDescent="0.25">
      <c r="A91" s="98"/>
      <c r="B91" s="92"/>
      <c r="C91" s="93"/>
      <c r="D91" s="111">
        <v>3239</v>
      </c>
      <c r="E91" s="7" t="s">
        <v>66</v>
      </c>
      <c r="F91" s="7"/>
      <c r="G91" s="7"/>
      <c r="H91" s="7"/>
      <c r="I91" s="13"/>
      <c r="J91" s="306">
        <v>3113.24</v>
      </c>
      <c r="K91" s="307"/>
      <c r="L91" s="308"/>
      <c r="M91" s="309"/>
      <c r="N91" s="306">
        <v>4664.55</v>
      </c>
      <c r="O91" s="307"/>
      <c r="P91" s="88">
        <f t="shared" si="21"/>
        <v>149.82943814161453</v>
      </c>
      <c r="Q91" s="88"/>
      <c r="R91" s="2"/>
    </row>
    <row r="92" spans="1:18" x14ac:dyDescent="0.25">
      <c r="A92" s="98"/>
      <c r="B92" s="92"/>
      <c r="C92" s="93">
        <v>329</v>
      </c>
      <c r="D92" s="111"/>
      <c r="E92" s="4" t="s">
        <v>67</v>
      </c>
      <c r="F92" s="4"/>
      <c r="G92" s="4"/>
      <c r="H92" s="4"/>
      <c r="I92" s="11"/>
      <c r="J92" s="296">
        <f>J93+J95+J96+J97+J98+J99</f>
        <v>32326.93</v>
      </c>
      <c r="K92" s="297"/>
      <c r="L92" s="296"/>
      <c r="M92" s="297"/>
      <c r="N92" s="296">
        <f t="shared" ref="N92" si="32">N93+N95+N96+N97+N98+N99</f>
        <v>68098.22</v>
      </c>
      <c r="O92" s="297"/>
      <c r="P92" s="88">
        <f t="shared" si="21"/>
        <v>210.65476987762219</v>
      </c>
      <c r="Q92" s="88"/>
      <c r="R92" s="2"/>
    </row>
    <row r="93" spans="1:18" x14ac:dyDescent="0.25">
      <c r="A93" s="100"/>
      <c r="B93" s="101"/>
      <c r="C93" s="102"/>
      <c r="D93" s="112">
        <v>3291</v>
      </c>
      <c r="E93" s="431" t="s">
        <v>68</v>
      </c>
      <c r="F93" s="431"/>
      <c r="G93" s="431"/>
      <c r="H93" s="431"/>
      <c r="I93" s="432"/>
      <c r="J93" s="348">
        <v>1472.99</v>
      </c>
      <c r="K93" s="436"/>
      <c r="L93" s="328"/>
      <c r="M93" s="433"/>
      <c r="N93" s="348">
        <v>1471.68</v>
      </c>
      <c r="O93" s="436"/>
      <c r="P93" s="311">
        <f t="shared" si="21"/>
        <v>99.911065248236582</v>
      </c>
      <c r="Q93" s="311"/>
      <c r="R93" s="2"/>
    </row>
    <row r="94" spans="1:18" x14ac:dyDescent="0.25">
      <c r="A94" s="98"/>
      <c r="B94" s="92"/>
      <c r="C94" s="93"/>
      <c r="D94" s="111"/>
      <c r="E94" s="431"/>
      <c r="F94" s="431"/>
      <c r="G94" s="431"/>
      <c r="H94" s="431"/>
      <c r="I94" s="432"/>
      <c r="J94" s="437"/>
      <c r="K94" s="438"/>
      <c r="L94" s="434"/>
      <c r="M94" s="435"/>
      <c r="N94" s="437"/>
      <c r="O94" s="438"/>
      <c r="P94" s="312"/>
      <c r="Q94" s="312"/>
      <c r="R94" s="2"/>
    </row>
    <row r="95" spans="1:18" x14ac:dyDescent="0.25">
      <c r="A95" s="177"/>
      <c r="B95" s="178"/>
      <c r="C95" s="179"/>
      <c r="D95" s="180">
        <v>3292</v>
      </c>
      <c r="E95" s="7" t="s">
        <v>69</v>
      </c>
      <c r="F95" s="7"/>
      <c r="G95" s="7"/>
      <c r="H95" s="7"/>
      <c r="I95" s="13"/>
      <c r="J95" s="310">
        <v>186.91</v>
      </c>
      <c r="K95" s="310"/>
      <c r="L95" s="308"/>
      <c r="M95" s="309"/>
      <c r="N95" s="310">
        <v>381.5</v>
      </c>
      <c r="O95" s="310"/>
      <c r="P95" s="88">
        <f t="shared" ref="P95:P118" si="33">N95/J95*100</f>
        <v>204.10892943127709</v>
      </c>
      <c r="Q95" s="88"/>
      <c r="R95" s="2"/>
    </row>
    <row r="96" spans="1:18" x14ac:dyDescent="0.25">
      <c r="A96" s="98"/>
      <c r="B96" s="92"/>
      <c r="C96" s="93"/>
      <c r="D96" s="111">
        <v>3293</v>
      </c>
      <c r="E96" s="7" t="s">
        <v>70</v>
      </c>
      <c r="F96" s="7"/>
      <c r="G96" s="7"/>
      <c r="H96" s="7"/>
      <c r="I96" s="13"/>
      <c r="J96" s="310">
        <v>4825.03</v>
      </c>
      <c r="K96" s="310"/>
      <c r="L96" s="308"/>
      <c r="M96" s="309"/>
      <c r="N96" s="310">
        <v>8154.62</v>
      </c>
      <c r="O96" s="310"/>
      <c r="P96" s="88">
        <f t="shared" si="33"/>
        <v>169.00661757543477</v>
      </c>
      <c r="Q96" s="88"/>
      <c r="R96" s="2"/>
    </row>
    <row r="97" spans="1:19" x14ac:dyDescent="0.25">
      <c r="A97" s="98"/>
      <c r="B97" s="92"/>
      <c r="C97" s="93"/>
      <c r="D97" s="111">
        <v>3295</v>
      </c>
      <c r="E97" s="7" t="s">
        <v>72</v>
      </c>
      <c r="F97" s="7"/>
      <c r="G97" s="7"/>
      <c r="H97" s="7"/>
      <c r="I97" s="13"/>
      <c r="J97" s="310">
        <v>3976</v>
      </c>
      <c r="K97" s="310"/>
      <c r="L97" s="308"/>
      <c r="M97" s="309"/>
      <c r="N97" s="310">
        <v>5246.88</v>
      </c>
      <c r="O97" s="310"/>
      <c r="P97" s="88">
        <f t="shared" si="33"/>
        <v>131.96378269617705</v>
      </c>
      <c r="Q97" s="88"/>
      <c r="R97" s="2"/>
    </row>
    <row r="98" spans="1:19" x14ac:dyDescent="0.25">
      <c r="A98" s="98"/>
      <c r="B98" s="92"/>
      <c r="C98" s="93"/>
      <c r="D98" s="111">
        <v>3296</v>
      </c>
      <c r="E98" s="7" t="s">
        <v>73</v>
      </c>
      <c r="F98" s="7"/>
      <c r="G98" s="7"/>
      <c r="H98" s="7"/>
      <c r="I98" s="13"/>
      <c r="J98" s="310">
        <v>3758.83</v>
      </c>
      <c r="K98" s="310"/>
      <c r="L98" s="308"/>
      <c r="M98" s="309"/>
      <c r="N98" s="310">
        <v>2963.63</v>
      </c>
      <c r="O98" s="310"/>
      <c r="P98" s="88">
        <f t="shared" si="33"/>
        <v>78.844480862396011</v>
      </c>
      <c r="Q98" s="88"/>
      <c r="R98" s="2"/>
    </row>
    <row r="99" spans="1:19" x14ac:dyDescent="0.25">
      <c r="A99" s="98"/>
      <c r="B99" s="92"/>
      <c r="C99" s="93"/>
      <c r="D99" s="111">
        <v>3299</v>
      </c>
      <c r="E99" s="7" t="s">
        <v>67</v>
      </c>
      <c r="F99" s="7"/>
      <c r="G99" s="7"/>
      <c r="H99" s="7"/>
      <c r="I99" s="13"/>
      <c r="J99" s="310">
        <v>18107.169999999998</v>
      </c>
      <c r="K99" s="310"/>
      <c r="L99" s="308"/>
      <c r="M99" s="309"/>
      <c r="N99" s="310">
        <v>49879.91</v>
      </c>
      <c r="O99" s="310"/>
      <c r="P99" s="88">
        <f t="shared" si="33"/>
        <v>275.47049041898879</v>
      </c>
      <c r="Q99" s="88"/>
      <c r="R99" s="2"/>
      <c r="S99" s="22"/>
    </row>
    <row r="100" spans="1:19" s="62" customFormat="1" x14ac:dyDescent="0.25">
      <c r="A100" s="98"/>
      <c r="B100" s="92">
        <v>37</v>
      </c>
      <c r="C100" s="93"/>
      <c r="D100" s="111"/>
      <c r="E100" s="426" t="s">
        <v>201</v>
      </c>
      <c r="F100" s="427"/>
      <c r="G100" s="427"/>
      <c r="H100" s="427"/>
      <c r="I100" s="428"/>
      <c r="J100" s="429">
        <f t="shared" ref="J100" si="34">SUM(J101)</f>
        <v>2045.28</v>
      </c>
      <c r="K100" s="430"/>
      <c r="L100" s="429">
        <v>17935.04</v>
      </c>
      <c r="M100" s="430"/>
      <c r="N100" s="429">
        <f t="shared" ref="N100" si="35">SUM(N101)</f>
        <v>5968.64</v>
      </c>
      <c r="O100" s="430"/>
      <c r="P100" s="87">
        <f t="shared" si="33"/>
        <v>291.82508018462022</v>
      </c>
      <c r="Q100" s="87">
        <f t="shared" ref="Q100" si="36">N100/L100*100</f>
        <v>33.279212089853161</v>
      </c>
      <c r="R100" s="2"/>
    </row>
    <row r="101" spans="1:19" s="62" customFormat="1" x14ac:dyDescent="0.25">
      <c r="A101" s="98"/>
      <c r="B101" s="92"/>
      <c r="C101" s="93">
        <v>372</v>
      </c>
      <c r="D101" s="111"/>
      <c r="E101" s="8" t="s">
        <v>202</v>
      </c>
      <c r="F101" s="8"/>
      <c r="G101" s="8"/>
      <c r="H101" s="8"/>
      <c r="I101" s="20"/>
      <c r="J101" s="352">
        <f>SUM(J102:K102)</f>
        <v>2045.28</v>
      </c>
      <c r="K101" s="353"/>
      <c r="L101" s="352"/>
      <c r="M101" s="353"/>
      <c r="N101" s="352">
        <f t="shared" ref="N101" si="37">SUM(N102:O102)</f>
        <v>5968.64</v>
      </c>
      <c r="O101" s="353"/>
      <c r="P101" s="88">
        <f t="shared" si="33"/>
        <v>291.82508018462022</v>
      </c>
      <c r="Q101" s="88"/>
      <c r="R101" s="2"/>
    </row>
    <row r="102" spans="1:19" s="62" customFormat="1" x14ac:dyDescent="0.25">
      <c r="A102" s="98"/>
      <c r="B102" s="92"/>
      <c r="C102" s="93"/>
      <c r="D102" s="111">
        <v>3721</v>
      </c>
      <c r="E102" s="8" t="s">
        <v>203</v>
      </c>
      <c r="F102" s="8"/>
      <c r="G102" s="8"/>
      <c r="H102" s="8"/>
      <c r="I102" s="20"/>
      <c r="J102" s="306">
        <v>2045.28</v>
      </c>
      <c r="K102" s="364"/>
      <c r="L102" s="308"/>
      <c r="M102" s="424"/>
      <c r="N102" s="306">
        <v>5968.64</v>
      </c>
      <c r="O102" s="364"/>
      <c r="P102" s="88">
        <f t="shared" si="33"/>
        <v>291.82508018462022</v>
      </c>
      <c r="Q102" s="88"/>
      <c r="R102" s="2"/>
    </row>
    <row r="103" spans="1:19" x14ac:dyDescent="0.25">
      <c r="A103" s="98"/>
      <c r="B103" s="92">
        <v>38</v>
      </c>
      <c r="C103" s="93"/>
      <c r="D103" s="111"/>
      <c r="E103" s="5" t="s">
        <v>124</v>
      </c>
      <c r="F103" s="5"/>
      <c r="G103" s="5"/>
      <c r="H103" s="5"/>
      <c r="I103" s="16"/>
      <c r="J103" s="294">
        <f t="shared" ref="J103:J104" si="38">J104</f>
        <v>1566</v>
      </c>
      <c r="K103" s="295"/>
      <c r="L103" s="304">
        <v>1700</v>
      </c>
      <c r="M103" s="305"/>
      <c r="N103" s="294">
        <f t="shared" ref="N103:N104" si="39">N104</f>
        <v>1700</v>
      </c>
      <c r="O103" s="295"/>
      <c r="P103" s="87">
        <f t="shared" si="33"/>
        <v>108.55683269476373</v>
      </c>
      <c r="Q103" s="87">
        <f t="shared" ref="Q103" si="40">N103/L103*100</f>
        <v>100</v>
      </c>
      <c r="R103" s="2"/>
    </row>
    <row r="104" spans="1:19" x14ac:dyDescent="0.25">
      <c r="A104" s="98"/>
      <c r="B104" s="92"/>
      <c r="C104" s="93">
        <v>381</v>
      </c>
      <c r="D104" s="111"/>
      <c r="E104" s="4" t="s">
        <v>26</v>
      </c>
      <c r="F104" s="4"/>
      <c r="G104" s="4"/>
      <c r="H104" s="4"/>
      <c r="I104" s="11"/>
      <c r="J104" s="296">
        <f t="shared" si="38"/>
        <v>1566</v>
      </c>
      <c r="K104" s="297"/>
      <c r="L104" s="298"/>
      <c r="M104" s="299"/>
      <c r="N104" s="296">
        <f t="shared" si="39"/>
        <v>1700</v>
      </c>
      <c r="O104" s="297"/>
      <c r="P104" s="88">
        <f t="shared" si="33"/>
        <v>108.55683269476373</v>
      </c>
      <c r="Q104" s="88"/>
      <c r="R104" s="2"/>
    </row>
    <row r="105" spans="1:19" x14ac:dyDescent="0.25">
      <c r="A105" s="98"/>
      <c r="B105" s="92"/>
      <c r="C105" s="93"/>
      <c r="D105" s="111">
        <v>3812</v>
      </c>
      <c r="E105" s="8" t="s">
        <v>152</v>
      </c>
      <c r="F105" s="8"/>
      <c r="G105" s="8"/>
      <c r="H105" s="8"/>
      <c r="I105" s="20"/>
      <c r="J105" s="348">
        <v>1566</v>
      </c>
      <c r="K105" s="349"/>
      <c r="L105" s="328"/>
      <c r="M105" s="329"/>
      <c r="N105" s="348">
        <v>1700</v>
      </c>
      <c r="O105" s="349"/>
      <c r="P105" s="88">
        <f t="shared" si="33"/>
        <v>108.55683269476373</v>
      </c>
      <c r="Q105" s="88"/>
      <c r="R105" s="2"/>
    </row>
    <row r="106" spans="1:19" x14ac:dyDescent="0.25">
      <c r="A106" s="113">
        <v>4</v>
      </c>
      <c r="B106" s="107"/>
      <c r="C106" s="107"/>
      <c r="D106" s="114"/>
      <c r="E106" s="330" t="s">
        <v>79</v>
      </c>
      <c r="F106" s="330"/>
      <c r="G106" s="330"/>
      <c r="H106" s="330"/>
      <c r="I106" s="331"/>
      <c r="J106" s="350">
        <f>J107+J115</f>
        <v>4939.22</v>
      </c>
      <c r="K106" s="351"/>
      <c r="L106" s="350">
        <f>L107+L115</f>
        <v>118269.1</v>
      </c>
      <c r="M106" s="351"/>
      <c r="N106" s="350">
        <f t="shared" ref="N106" si="41">N107+N115</f>
        <v>118890.05</v>
      </c>
      <c r="O106" s="351"/>
      <c r="P106" s="79">
        <f t="shared" si="33"/>
        <v>2407.0612363895511</v>
      </c>
      <c r="Q106" s="79">
        <f>N106/L106*100</f>
        <v>100.52503147483154</v>
      </c>
      <c r="R106" s="2"/>
    </row>
    <row r="107" spans="1:19" x14ac:dyDescent="0.25">
      <c r="A107" s="98"/>
      <c r="B107" s="92">
        <v>42</v>
      </c>
      <c r="C107" s="93"/>
      <c r="D107" s="111"/>
      <c r="E107" s="5" t="s">
        <v>74</v>
      </c>
      <c r="F107" s="5"/>
      <c r="G107" s="5"/>
      <c r="H107" s="5"/>
      <c r="I107" s="16"/>
      <c r="J107" s="304">
        <f t="shared" ref="J107" si="42">J108+J111+J113</f>
        <v>4939.22</v>
      </c>
      <c r="K107" s="305"/>
      <c r="L107" s="304">
        <v>10455</v>
      </c>
      <c r="M107" s="305"/>
      <c r="N107" s="304">
        <f>N108+N111+N113</f>
        <v>11075.95</v>
      </c>
      <c r="O107" s="305"/>
      <c r="P107" s="87">
        <f t="shared" si="33"/>
        <v>224.24492126287149</v>
      </c>
      <c r="Q107" s="87">
        <f t="shared" ref="Q107" si="43">N107/L107*100</f>
        <v>105.93926351028217</v>
      </c>
      <c r="R107" s="2"/>
    </row>
    <row r="108" spans="1:19" x14ac:dyDescent="0.25">
      <c r="A108" s="98"/>
      <c r="B108" s="92"/>
      <c r="C108" s="93">
        <v>422</v>
      </c>
      <c r="D108" s="111"/>
      <c r="E108" s="4" t="s">
        <v>75</v>
      </c>
      <c r="F108" s="4"/>
      <c r="G108" s="4"/>
      <c r="H108" s="4"/>
      <c r="I108" s="11"/>
      <c r="J108" s="296">
        <f t="shared" ref="J108" si="44">J109+J110</f>
        <v>3936.6</v>
      </c>
      <c r="K108" s="297"/>
      <c r="L108" s="296"/>
      <c r="M108" s="297"/>
      <c r="N108" s="296">
        <f t="shared" ref="N108" si="45">N109+N110</f>
        <v>0</v>
      </c>
      <c r="O108" s="297"/>
      <c r="P108" s="88">
        <f t="shared" si="33"/>
        <v>0</v>
      </c>
      <c r="Q108" s="88"/>
      <c r="R108" s="2"/>
    </row>
    <row r="109" spans="1:19" x14ac:dyDescent="0.25">
      <c r="A109" s="98"/>
      <c r="B109" s="92"/>
      <c r="C109" s="93"/>
      <c r="D109" s="111">
        <v>4221</v>
      </c>
      <c r="E109" s="7" t="s">
        <v>84</v>
      </c>
      <c r="F109" s="7"/>
      <c r="G109" s="7"/>
      <c r="H109" s="7"/>
      <c r="I109" s="13"/>
      <c r="J109" s="306">
        <v>3375</v>
      </c>
      <c r="K109" s="307"/>
      <c r="L109" s="308"/>
      <c r="M109" s="309"/>
      <c r="N109" s="306"/>
      <c r="O109" s="307"/>
      <c r="P109" s="88">
        <f t="shared" si="33"/>
        <v>0</v>
      </c>
      <c r="Q109" s="88"/>
      <c r="R109" s="2"/>
    </row>
    <row r="110" spans="1:19" x14ac:dyDescent="0.25">
      <c r="A110" s="98"/>
      <c r="B110" s="92"/>
      <c r="C110" s="93"/>
      <c r="D110" s="111">
        <v>4227</v>
      </c>
      <c r="E110" s="7" t="s">
        <v>76</v>
      </c>
      <c r="F110" s="7"/>
      <c r="G110" s="7"/>
      <c r="H110" s="7"/>
      <c r="I110" s="13"/>
      <c r="J110" s="306">
        <v>561.6</v>
      </c>
      <c r="K110" s="307"/>
      <c r="L110" s="308"/>
      <c r="M110" s="309"/>
      <c r="N110" s="306"/>
      <c r="O110" s="307"/>
      <c r="P110" s="88">
        <f t="shared" si="33"/>
        <v>0</v>
      </c>
      <c r="Q110" s="88"/>
      <c r="R110" s="2"/>
    </row>
    <row r="111" spans="1:19" x14ac:dyDescent="0.25">
      <c r="A111" s="98"/>
      <c r="B111" s="92"/>
      <c r="C111" s="93">
        <v>424</v>
      </c>
      <c r="D111" s="111"/>
      <c r="E111" s="4" t="s">
        <v>77</v>
      </c>
      <c r="F111" s="4"/>
      <c r="G111" s="4"/>
      <c r="H111" s="4"/>
      <c r="I111" s="11"/>
      <c r="J111" s="296">
        <f t="shared" ref="J111:J113" si="46">J112</f>
        <v>1002.62</v>
      </c>
      <c r="K111" s="297"/>
      <c r="L111" s="296"/>
      <c r="M111" s="297"/>
      <c r="N111" s="296">
        <f t="shared" ref="N111:N113" si="47">N112</f>
        <v>750.95</v>
      </c>
      <c r="O111" s="297"/>
      <c r="P111" s="88">
        <f t="shared" si="33"/>
        <v>74.898765235084085</v>
      </c>
      <c r="Q111" s="88"/>
      <c r="R111" s="2"/>
    </row>
    <row r="112" spans="1:19" x14ac:dyDescent="0.25">
      <c r="A112" s="98"/>
      <c r="B112" s="92"/>
      <c r="C112" s="93"/>
      <c r="D112" s="111">
        <v>4241</v>
      </c>
      <c r="E112" s="7" t="s">
        <v>78</v>
      </c>
      <c r="F112" s="7"/>
      <c r="G112" s="7"/>
      <c r="H112" s="7"/>
      <c r="I112" s="13"/>
      <c r="J112" s="306">
        <v>1002.62</v>
      </c>
      <c r="K112" s="307"/>
      <c r="L112" s="308"/>
      <c r="M112" s="309"/>
      <c r="N112" s="306">
        <v>750.95</v>
      </c>
      <c r="O112" s="307"/>
      <c r="P112" s="88">
        <f t="shared" si="33"/>
        <v>74.898765235084085</v>
      </c>
      <c r="Q112" s="88"/>
      <c r="R112" s="2"/>
    </row>
    <row r="113" spans="1:21" s="62" customFormat="1" x14ac:dyDescent="0.25">
      <c r="A113" s="98"/>
      <c r="B113" s="92"/>
      <c r="C113" s="93">
        <v>426</v>
      </c>
      <c r="D113" s="111"/>
      <c r="E113" s="4" t="s">
        <v>204</v>
      </c>
      <c r="F113" s="4"/>
      <c r="G113" s="4"/>
      <c r="H113" s="4"/>
      <c r="I113" s="11"/>
      <c r="J113" s="296">
        <f t="shared" si="46"/>
        <v>0</v>
      </c>
      <c r="K113" s="297"/>
      <c r="L113" s="298"/>
      <c r="M113" s="299"/>
      <c r="N113" s="296">
        <f t="shared" si="47"/>
        <v>10325</v>
      </c>
      <c r="O113" s="297"/>
      <c r="P113" s="88" t="e">
        <f t="shared" si="33"/>
        <v>#DIV/0!</v>
      </c>
      <c r="Q113" s="88"/>
      <c r="R113" s="2"/>
    </row>
    <row r="114" spans="1:21" s="62" customFormat="1" x14ac:dyDescent="0.25">
      <c r="A114" s="98"/>
      <c r="B114" s="92"/>
      <c r="C114" s="93"/>
      <c r="D114" s="111">
        <v>4264</v>
      </c>
      <c r="E114" s="7" t="s">
        <v>205</v>
      </c>
      <c r="F114" s="7"/>
      <c r="G114" s="7"/>
      <c r="H114" s="7"/>
      <c r="I114" s="13"/>
      <c r="J114" s="306"/>
      <c r="K114" s="307"/>
      <c r="L114" s="308"/>
      <c r="M114" s="309"/>
      <c r="N114" s="306">
        <v>10325</v>
      </c>
      <c r="O114" s="307"/>
      <c r="P114" s="88" t="e">
        <f t="shared" si="33"/>
        <v>#DIV/0!</v>
      </c>
      <c r="Q114" s="88"/>
      <c r="R114" s="2"/>
    </row>
    <row r="115" spans="1:21" x14ac:dyDescent="0.25">
      <c r="A115" s="98"/>
      <c r="B115" s="92">
        <v>45</v>
      </c>
      <c r="C115" s="93"/>
      <c r="D115" s="111"/>
      <c r="E115" s="5" t="s">
        <v>134</v>
      </c>
      <c r="F115" s="5"/>
      <c r="G115" s="5"/>
      <c r="H115" s="5"/>
      <c r="I115" s="16"/>
      <c r="J115" s="294">
        <f>J116</f>
        <v>0</v>
      </c>
      <c r="K115" s="295"/>
      <c r="L115" s="294">
        <v>107814.1</v>
      </c>
      <c r="M115" s="295"/>
      <c r="N115" s="294">
        <f t="shared" ref="N115" si="48">N116</f>
        <v>107814.1</v>
      </c>
      <c r="O115" s="295"/>
      <c r="P115" s="87" t="e">
        <f t="shared" si="33"/>
        <v>#DIV/0!</v>
      </c>
      <c r="Q115" s="87">
        <f t="shared" ref="Q115" si="49">N115/L115*100</f>
        <v>100</v>
      </c>
      <c r="R115" s="2"/>
    </row>
    <row r="116" spans="1:21" x14ac:dyDescent="0.25">
      <c r="A116" s="98"/>
      <c r="B116" s="92"/>
      <c r="C116" s="93">
        <v>451</v>
      </c>
      <c r="D116" s="111"/>
      <c r="E116" s="4" t="s">
        <v>135</v>
      </c>
      <c r="F116" s="4"/>
      <c r="G116" s="4"/>
      <c r="H116" s="4"/>
      <c r="I116" s="11"/>
      <c r="J116" s="296">
        <f t="shared" ref="J116" si="50">J117</f>
        <v>0</v>
      </c>
      <c r="K116" s="297"/>
      <c r="L116" s="298"/>
      <c r="M116" s="299"/>
      <c r="N116" s="296">
        <f t="shared" ref="N116" si="51">N117</f>
        <v>107814.1</v>
      </c>
      <c r="O116" s="297"/>
      <c r="P116" s="88" t="e">
        <f t="shared" si="33"/>
        <v>#DIV/0!</v>
      </c>
      <c r="Q116" s="88"/>
      <c r="R116" s="2"/>
    </row>
    <row r="117" spans="1:21" ht="15.75" thickBot="1" x14ac:dyDescent="0.3">
      <c r="A117" s="115"/>
      <c r="B117" s="116"/>
      <c r="C117" s="117"/>
      <c r="D117" s="118">
        <v>4511</v>
      </c>
      <c r="E117" s="8" t="s">
        <v>135</v>
      </c>
      <c r="F117" s="8"/>
      <c r="G117" s="8"/>
      <c r="H117" s="8"/>
      <c r="I117" s="20"/>
      <c r="J117" s="306"/>
      <c r="K117" s="307"/>
      <c r="L117" s="308"/>
      <c r="M117" s="309"/>
      <c r="N117" s="306">
        <v>107814.1</v>
      </c>
      <c r="O117" s="307"/>
      <c r="P117" s="88" t="e">
        <f t="shared" si="33"/>
        <v>#DIV/0!</v>
      </c>
      <c r="Q117" s="88"/>
      <c r="R117" s="2"/>
    </row>
    <row r="118" spans="1:21" ht="15.75" thickBot="1" x14ac:dyDescent="0.3">
      <c r="A118" s="386" t="s">
        <v>41</v>
      </c>
      <c r="B118" s="387"/>
      <c r="C118" s="387"/>
      <c r="D118" s="387"/>
      <c r="E118" s="387"/>
      <c r="F118" s="387"/>
      <c r="G118" s="387"/>
      <c r="H118" s="387"/>
      <c r="I118" s="388"/>
      <c r="J118" s="345">
        <f>J60+J106</f>
        <v>2246993.3000000003</v>
      </c>
      <c r="K118" s="345"/>
      <c r="L118" s="345">
        <f>L60+L106</f>
        <v>2566721.29</v>
      </c>
      <c r="M118" s="345"/>
      <c r="N118" s="345">
        <f>N60+N106</f>
        <v>2746096.01</v>
      </c>
      <c r="O118" s="345"/>
      <c r="P118" s="81">
        <f t="shared" si="33"/>
        <v>122.21202484226363</v>
      </c>
      <c r="Q118" s="81">
        <f>N118/L118*100</f>
        <v>106.98847672705436</v>
      </c>
      <c r="R118" s="2"/>
    </row>
    <row r="119" spans="1:21" x14ac:dyDescent="0.25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21" x14ac:dyDescent="0.25">
      <c r="S120" s="2"/>
    </row>
    <row r="121" spans="1:21" x14ac:dyDescent="0.25">
      <c r="M121" s="22"/>
      <c r="S121" s="2"/>
      <c r="U121" s="22"/>
    </row>
    <row r="123" spans="1:21" x14ac:dyDescent="0.25">
      <c r="U123" s="22"/>
    </row>
  </sheetData>
  <customSheetViews>
    <customSheetView guid="{005C429F-8448-44DF-83AD-8A930973E873}">
      <selection activeCell="G12" sqref="G12:L12"/>
      <rowBreaks count="1" manualBreakCount="1">
        <brk id="57" max="16383" man="1"/>
      </rowBreaks>
      <pageMargins left="0.7" right="0.7" top="0.75" bottom="0.75" header="0.3" footer="0.3"/>
      <pageSetup paperSize="9" scale="71" orientation="portrait" r:id="rId1"/>
    </customSheetView>
  </customSheetViews>
  <mergeCells count="338">
    <mergeCell ref="N100:O100"/>
    <mergeCell ref="N88:O88"/>
    <mergeCell ref="L93:M94"/>
    <mergeCell ref="N93:O94"/>
    <mergeCell ref="N95:O95"/>
    <mergeCell ref="N91:O91"/>
    <mergeCell ref="J93:K94"/>
    <mergeCell ref="N67:O67"/>
    <mergeCell ref="J79:K79"/>
    <mergeCell ref="L79:M79"/>
    <mergeCell ref="N79:O79"/>
    <mergeCell ref="J80:K80"/>
    <mergeCell ref="L80:M80"/>
    <mergeCell ref="N80:O80"/>
    <mergeCell ref="N81:O81"/>
    <mergeCell ref="J82:K82"/>
    <mergeCell ref="E64:I64"/>
    <mergeCell ref="E100:I100"/>
    <mergeCell ref="J101:K101"/>
    <mergeCell ref="J100:K100"/>
    <mergeCell ref="J102:K102"/>
    <mergeCell ref="L100:M100"/>
    <mergeCell ref="L102:M102"/>
    <mergeCell ref="L101:M101"/>
    <mergeCell ref="E93:I94"/>
    <mergeCell ref="J81:K81"/>
    <mergeCell ref="L81:M81"/>
    <mergeCell ref="J89:K89"/>
    <mergeCell ref="L89:M89"/>
    <mergeCell ref="J95:K95"/>
    <mergeCell ref="L95:M95"/>
    <mergeCell ref="J99:K99"/>
    <mergeCell ref="L99:M99"/>
    <mergeCell ref="L82:M82"/>
    <mergeCell ref="J71:K71"/>
    <mergeCell ref="L71:M71"/>
    <mergeCell ref="J68:K68"/>
    <mergeCell ref="L68:M68"/>
    <mergeCell ref="J67:K67"/>
    <mergeCell ref="J96:K96"/>
    <mergeCell ref="J40:K40"/>
    <mergeCell ref="N43:O44"/>
    <mergeCell ref="L38:M39"/>
    <mergeCell ref="N38:O39"/>
    <mergeCell ref="L40:M40"/>
    <mergeCell ref="N40:O40"/>
    <mergeCell ref="L45:M46"/>
    <mergeCell ref="N45:O46"/>
    <mergeCell ref="L47:M48"/>
    <mergeCell ref="N47:O48"/>
    <mergeCell ref="L56:M56"/>
    <mergeCell ref="N56:O56"/>
    <mergeCell ref="L53:M53"/>
    <mergeCell ref="N53:O53"/>
    <mergeCell ref="L54:M54"/>
    <mergeCell ref="N54:O54"/>
    <mergeCell ref="J41:K42"/>
    <mergeCell ref="J43:K44"/>
    <mergeCell ref="J45:K46"/>
    <mergeCell ref="J47:K48"/>
    <mergeCell ref="J49:K49"/>
    <mergeCell ref="J65:K65"/>
    <mergeCell ref="L65:M65"/>
    <mergeCell ref="N65:O65"/>
    <mergeCell ref="J66:K66"/>
    <mergeCell ref="L66:M66"/>
    <mergeCell ref="N66:O66"/>
    <mergeCell ref="L57:M57"/>
    <mergeCell ref="N57:O57"/>
    <mergeCell ref="J64:K64"/>
    <mergeCell ref="L64:M64"/>
    <mergeCell ref="N64:O64"/>
    <mergeCell ref="A118:I118"/>
    <mergeCell ref="A9:I10"/>
    <mergeCell ref="A11:I11"/>
    <mergeCell ref="A12:I12"/>
    <mergeCell ref="A58:I58"/>
    <mergeCell ref="L9:M10"/>
    <mergeCell ref="E30:I31"/>
    <mergeCell ref="E13:I13"/>
    <mergeCell ref="E14:I15"/>
    <mergeCell ref="E16:I17"/>
    <mergeCell ref="E18:I19"/>
    <mergeCell ref="E20:I21"/>
    <mergeCell ref="E43:I44"/>
    <mergeCell ref="E45:I46"/>
    <mergeCell ref="E24:I25"/>
    <mergeCell ref="E32:I32"/>
    <mergeCell ref="E33:I33"/>
    <mergeCell ref="E40:I40"/>
    <mergeCell ref="E34:I35"/>
    <mergeCell ref="E37:I37"/>
    <mergeCell ref="E41:I42"/>
    <mergeCell ref="E38:I39"/>
    <mergeCell ref="J22:K22"/>
    <mergeCell ref="J23:K23"/>
    <mergeCell ref="J32:K32"/>
    <mergeCell ref="J33:K33"/>
    <mergeCell ref="J36:K36"/>
    <mergeCell ref="J37:K37"/>
    <mergeCell ref="J30:K31"/>
    <mergeCell ref="J34:K35"/>
    <mergeCell ref="J38:K39"/>
    <mergeCell ref="J24:K25"/>
    <mergeCell ref="J9:K10"/>
    <mergeCell ref="J11:K11"/>
    <mergeCell ref="J14:K15"/>
    <mergeCell ref="J16:K17"/>
    <mergeCell ref="J18:K19"/>
    <mergeCell ref="J20:K21"/>
    <mergeCell ref="J13:K13"/>
    <mergeCell ref="N9:O10"/>
    <mergeCell ref="L18:M19"/>
    <mergeCell ref="N18:O19"/>
    <mergeCell ref="L20:M21"/>
    <mergeCell ref="N20:O21"/>
    <mergeCell ref="L16:M17"/>
    <mergeCell ref="N16:O17"/>
    <mergeCell ref="L14:M15"/>
    <mergeCell ref="N14:O15"/>
    <mergeCell ref="N13:O13"/>
    <mergeCell ref="L11:M11"/>
    <mergeCell ref="N11:O11"/>
    <mergeCell ref="L33:M33"/>
    <mergeCell ref="N33:O33"/>
    <mergeCell ref="L34:M35"/>
    <mergeCell ref="N34:O35"/>
    <mergeCell ref="L37:M37"/>
    <mergeCell ref="N37:O37"/>
    <mergeCell ref="L49:M49"/>
    <mergeCell ref="N49:O49"/>
    <mergeCell ref="L50:M50"/>
    <mergeCell ref="N50:O50"/>
    <mergeCell ref="P14:P15"/>
    <mergeCell ref="Q14:Q15"/>
    <mergeCell ref="P16:P17"/>
    <mergeCell ref="P18:P19"/>
    <mergeCell ref="P20:P21"/>
    <mergeCell ref="P30:P31"/>
    <mergeCell ref="L13:M13"/>
    <mergeCell ref="Q16:Q17"/>
    <mergeCell ref="Q18:Q19"/>
    <mergeCell ref="Q20:Q21"/>
    <mergeCell ref="Q30:Q31"/>
    <mergeCell ref="N26:O27"/>
    <mergeCell ref="P26:P27"/>
    <mergeCell ref="P28:P29"/>
    <mergeCell ref="Q26:Q27"/>
    <mergeCell ref="Q28:Q29"/>
    <mergeCell ref="L30:M31"/>
    <mergeCell ref="N30:O31"/>
    <mergeCell ref="L22:M22"/>
    <mergeCell ref="N22:O22"/>
    <mergeCell ref="L23:M23"/>
    <mergeCell ref="N23:O23"/>
    <mergeCell ref="L24:M25"/>
    <mergeCell ref="N24:O25"/>
    <mergeCell ref="E60:I60"/>
    <mergeCell ref="J60:K60"/>
    <mergeCell ref="L60:M60"/>
    <mergeCell ref="N60:O60"/>
    <mergeCell ref="Q41:Q42"/>
    <mergeCell ref="Q43:Q44"/>
    <mergeCell ref="Q45:Q46"/>
    <mergeCell ref="Q47:Q48"/>
    <mergeCell ref="J53:K53"/>
    <mergeCell ref="L58:M58"/>
    <mergeCell ref="N58:O58"/>
    <mergeCell ref="P41:P42"/>
    <mergeCell ref="P43:P44"/>
    <mergeCell ref="P45:P46"/>
    <mergeCell ref="P47:P48"/>
    <mergeCell ref="J54:K54"/>
    <mergeCell ref="J55:K55"/>
    <mergeCell ref="J56:K56"/>
    <mergeCell ref="J58:K58"/>
    <mergeCell ref="J50:K50"/>
    <mergeCell ref="J51:K51"/>
    <mergeCell ref="E47:I48"/>
    <mergeCell ref="J57:K57"/>
    <mergeCell ref="J52:K52"/>
    <mergeCell ref="J118:K118"/>
    <mergeCell ref="L118:M118"/>
    <mergeCell ref="N118:O118"/>
    <mergeCell ref="J61:K61"/>
    <mergeCell ref="J62:K62"/>
    <mergeCell ref="L62:M62"/>
    <mergeCell ref="N62:O62"/>
    <mergeCell ref="J77:K77"/>
    <mergeCell ref="L77:M77"/>
    <mergeCell ref="N77:O77"/>
    <mergeCell ref="J78:K78"/>
    <mergeCell ref="L78:M78"/>
    <mergeCell ref="N78:O78"/>
    <mergeCell ref="J63:K63"/>
    <mergeCell ref="L63:M63"/>
    <mergeCell ref="N63:O63"/>
    <mergeCell ref="L67:M67"/>
    <mergeCell ref="N105:O105"/>
    <mergeCell ref="J106:K106"/>
    <mergeCell ref="L106:M106"/>
    <mergeCell ref="N106:O106"/>
    <mergeCell ref="N111:O111"/>
    <mergeCell ref="J105:K105"/>
    <mergeCell ref="N101:O101"/>
    <mergeCell ref="Q34:Q35"/>
    <mergeCell ref="Q38:Q39"/>
    <mergeCell ref="P34:P35"/>
    <mergeCell ref="L55:M55"/>
    <mergeCell ref="N55:O55"/>
    <mergeCell ref="L41:M42"/>
    <mergeCell ref="N41:O42"/>
    <mergeCell ref="L43:M44"/>
    <mergeCell ref="L36:M36"/>
    <mergeCell ref="N36:O36"/>
    <mergeCell ref="P38:P39"/>
    <mergeCell ref="L51:M51"/>
    <mergeCell ref="N51:O51"/>
    <mergeCell ref="L52:M52"/>
    <mergeCell ref="N52:O52"/>
    <mergeCell ref="E106:I106"/>
    <mergeCell ref="J70:K70"/>
    <mergeCell ref="L70:M70"/>
    <mergeCell ref="N70:O70"/>
    <mergeCell ref="N68:O68"/>
    <mergeCell ref="J69:K69"/>
    <mergeCell ref="L69:M69"/>
    <mergeCell ref="N69:O69"/>
    <mergeCell ref="J75:K75"/>
    <mergeCell ref="L75:M75"/>
    <mergeCell ref="N75:O75"/>
    <mergeCell ref="J76:K76"/>
    <mergeCell ref="L76:M76"/>
    <mergeCell ref="N76:O76"/>
    <mergeCell ref="J72:K72"/>
    <mergeCell ref="L72:M72"/>
    <mergeCell ref="N72:O72"/>
    <mergeCell ref="J73:K73"/>
    <mergeCell ref="L73:M73"/>
    <mergeCell ref="N73:O73"/>
    <mergeCell ref="N82:O82"/>
    <mergeCell ref="N102:O102"/>
    <mergeCell ref="N71:O71"/>
    <mergeCell ref="L96:M96"/>
    <mergeCell ref="P93:P94"/>
    <mergeCell ref="N89:O89"/>
    <mergeCell ref="N87:O87"/>
    <mergeCell ref="J83:K83"/>
    <mergeCell ref="L83:M83"/>
    <mergeCell ref="N83:O83"/>
    <mergeCell ref="J84:K84"/>
    <mergeCell ref="L84:M84"/>
    <mergeCell ref="N84:O84"/>
    <mergeCell ref="L85:M85"/>
    <mergeCell ref="N85:O85"/>
    <mergeCell ref="N90:O90"/>
    <mergeCell ref="J91:K91"/>
    <mergeCell ref="L91:M91"/>
    <mergeCell ref="J86:K86"/>
    <mergeCell ref="L86:M86"/>
    <mergeCell ref="N86:O86"/>
    <mergeCell ref="J87:K87"/>
    <mergeCell ref="L87:M87"/>
    <mergeCell ref="J88:K88"/>
    <mergeCell ref="L88:M88"/>
    <mergeCell ref="N92:O92"/>
    <mergeCell ref="J117:K117"/>
    <mergeCell ref="L117:M117"/>
    <mergeCell ref="N117:O117"/>
    <mergeCell ref="J104:K104"/>
    <mergeCell ref="L104:M104"/>
    <mergeCell ref="N104:O104"/>
    <mergeCell ref="J109:K109"/>
    <mergeCell ref="L109:M109"/>
    <mergeCell ref="N109:O109"/>
    <mergeCell ref="J107:K107"/>
    <mergeCell ref="L107:M107"/>
    <mergeCell ref="N107:O107"/>
    <mergeCell ref="J108:K108"/>
    <mergeCell ref="L108:M108"/>
    <mergeCell ref="N108:O108"/>
    <mergeCell ref="J112:K112"/>
    <mergeCell ref="L112:M112"/>
    <mergeCell ref="J113:K113"/>
    <mergeCell ref="L113:M113"/>
    <mergeCell ref="N113:O113"/>
    <mergeCell ref="J114:K114"/>
    <mergeCell ref="L114:M114"/>
    <mergeCell ref="L111:M111"/>
    <mergeCell ref="L105:M105"/>
    <mergeCell ref="A5:Q5"/>
    <mergeCell ref="A6:Q6"/>
    <mergeCell ref="A7:Q7"/>
    <mergeCell ref="N99:O99"/>
    <mergeCell ref="J97:K97"/>
    <mergeCell ref="L97:M97"/>
    <mergeCell ref="N97:O97"/>
    <mergeCell ref="J98:K98"/>
    <mergeCell ref="L98:M98"/>
    <mergeCell ref="N98:O98"/>
    <mergeCell ref="Q93:Q94"/>
    <mergeCell ref="P24:P25"/>
    <mergeCell ref="Q24:Q25"/>
    <mergeCell ref="E28:I29"/>
    <mergeCell ref="J28:K29"/>
    <mergeCell ref="L28:M29"/>
    <mergeCell ref="N28:O29"/>
    <mergeCell ref="E26:I27"/>
    <mergeCell ref="J26:K27"/>
    <mergeCell ref="L26:M27"/>
    <mergeCell ref="J92:K92"/>
    <mergeCell ref="L92:M92"/>
    <mergeCell ref="L90:M90"/>
    <mergeCell ref="J90:K90"/>
    <mergeCell ref="J115:K115"/>
    <mergeCell ref="L115:M115"/>
    <mergeCell ref="N115:O115"/>
    <mergeCell ref="J116:K116"/>
    <mergeCell ref="L116:M116"/>
    <mergeCell ref="N116:O116"/>
    <mergeCell ref="L32:M32"/>
    <mergeCell ref="N32:O32"/>
    <mergeCell ref="J103:K103"/>
    <mergeCell ref="L103:M103"/>
    <mergeCell ref="N103:O103"/>
    <mergeCell ref="L61:M61"/>
    <mergeCell ref="N61:O61"/>
    <mergeCell ref="J74:K74"/>
    <mergeCell ref="L74:M74"/>
    <mergeCell ref="N74:O74"/>
    <mergeCell ref="J85:K85"/>
    <mergeCell ref="N112:O112"/>
    <mergeCell ref="J110:K110"/>
    <mergeCell ref="L110:M110"/>
    <mergeCell ref="N110:O110"/>
    <mergeCell ref="J111:K111"/>
    <mergeCell ref="N114:O114"/>
    <mergeCell ref="N96:O96"/>
  </mergeCells>
  <pageMargins left="0.7" right="0.7" top="0.75" bottom="0.75" header="0.3" footer="0.3"/>
  <pageSetup paperSize="9" scale="55" orientation="portrait" verticalDpi="300" r:id="rId2"/>
  <rowBreaks count="1" manualBreakCount="1">
    <brk id="59" max="18" man="1"/>
  </rowBreaks>
  <colBreaks count="1" manualBreakCount="1">
    <brk id="17" max="111" man="1"/>
  </colBreaks>
  <ignoredErrors>
    <ignoredError sqref="L58" formula="1"/>
    <ignoredError sqref="P17:P29 P16 Q30:Q31 Q15 Q13 P32:P33 Q34:Q35 P34:P35 Q42 P31 P42 P49:Q49 P72:P96 P100:Q100 P58:Q61 P38:P39 P57 P53:Q54 P56 P55 P50 P69:Q69 P62:P68 P97:P99 P70:P71 P103:Q103 P101:P102 P106:Q107 P104:P105 P115:Q115 P108:P113 P114 P118:Q120 P116 P11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2"/>
  <sheetViews>
    <sheetView zoomScaleNormal="100" workbookViewId="0"/>
  </sheetViews>
  <sheetFormatPr defaultRowHeight="15" x14ac:dyDescent="0.25"/>
  <cols>
    <col min="1" max="12" width="8.85546875" customWidth="1"/>
    <col min="14" max="14" width="12.7109375" hidden="1" customWidth="1"/>
    <col min="15" max="15" width="11.7109375" hidden="1" customWidth="1"/>
    <col min="16" max="16" width="10.140625" hidden="1" customWidth="1"/>
    <col min="18" max="18" width="11.7109375" bestFit="1" customWidth="1"/>
  </cols>
  <sheetData>
    <row r="1" spans="1:16" x14ac:dyDescent="0.25">
      <c r="A1" s="63" t="s">
        <v>195</v>
      </c>
    </row>
    <row r="2" spans="1:16" x14ac:dyDescent="0.25">
      <c r="A2" s="62" t="s">
        <v>12</v>
      </c>
    </row>
    <row r="3" spans="1:16" x14ac:dyDescent="0.25">
      <c r="A3" s="62" t="s">
        <v>196</v>
      </c>
    </row>
    <row r="5" spans="1:16" x14ac:dyDescent="0.25">
      <c r="A5" s="255" t="s">
        <v>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</row>
    <row r="6" spans="1:16" x14ac:dyDescent="0.25">
      <c r="A6" s="255" t="s">
        <v>146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50"/>
      <c r="N6" s="50"/>
    </row>
    <row r="7" spans="1:16" x14ac:dyDescent="0.25">
      <c r="A7" s="255" t="s">
        <v>148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</row>
    <row r="8" spans="1:16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6" ht="15.75" thickBot="1" x14ac:dyDescent="0.3">
      <c r="A9" s="1" t="s">
        <v>116</v>
      </c>
    </row>
    <row r="10" spans="1:16" ht="15" customHeight="1" x14ac:dyDescent="0.25">
      <c r="A10" s="446" t="s">
        <v>136</v>
      </c>
      <c r="B10" s="447"/>
      <c r="C10" s="447"/>
      <c r="D10" s="447"/>
      <c r="E10" s="265" t="s">
        <v>186</v>
      </c>
      <c r="F10" s="266"/>
      <c r="G10" s="265" t="s">
        <v>267</v>
      </c>
      <c r="H10" s="266"/>
      <c r="I10" s="449" t="s">
        <v>225</v>
      </c>
      <c r="J10" s="449"/>
      <c r="K10" s="17" t="s">
        <v>38</v>
      </c>
      <c r="L10" s="17" t="s">
        <v>38</v>
      </c>
    </row>
    <row r="11" spans="1:16" x14ac:dyDescent="0.25">
      <c r="A11" s="23" t="s">
        <v>117</v>
      </c>
      <c r="B11" s="448" t="s">
        <v>118</v>
      </c>
      <c r="C11" s="448"/>
      <c r="D11" s="448"/>
      <c r="E11" s="267"/>
      <c r="F11" s="268"/>
      <c r="G11" s="267"/>
      <c r="H11" s="268"/>
      <c r="I11" s="450"/>
      <c r="J11" s="450"/>
      <c r="K11" s="223" t="s">
        <v>265</v>
      </c>
      <c r="L11" s="224" t="s">
        <v>264</v>
      </c>
    </row>
    <row r="12" spans="1:16" ht="15.75" thickBot="1" x14ac:dyDescent="0.3">
      <c r="A12" s="384">
        <v>1</v>
      </c>
      <c r="B12" s="385"/>
      <c r="C12" s="385"/>
      <c r="D12" s="385"/>
      <c r="E12" s="384">
        <v>2</v>
      </c>
      <c r="F12" s="385"/>
      <c r="G12" s="384">
        <v>3</v>
      </c>
      <c r="H12" s="385"/>
      <c r="I12" s="445">
        <v>4</v>
      </c>
      <c r="J12" s="445"/>
      <c r="K12" s="18">
        <v>5</v>
      </c>
      <c r="L12" s="18">
        <v>6</v>
      </c>
    </row>
    <row r="13" spans="1:16" x14ac:dyDescent="0.25">
      <c r="A13" s="225">
        <v>1</v>
      </c>
      <c r="B13" s="461" t="s">
        <v>108</v>
      </c>
      <c r="C13" s="462"/>
      <c r="D13" s="462"/>
      <c r="E13" s="451">
        <f t="shared" ref="E13" si="0">E14+E15</f>
        <v>31775.26</v>
      </c>
      <c r="F13" s="451"/>
      <c r="G13" s="451">
        <f>G14+G15</f>
        <v>56264.9</v>
      </c>
      <c r="H13" s="451"/>
      <c r="I13" s="451">
        <f>I14+I15</f>
        <v>52701.7</v>
      </c>
      <c r="J13" s="451"/>
      <c r="K13" s="72">
        <f t="shared" ref="K13:K29" si="1">I13/E13*100</f>
        <v>165.85765151882313</v>
      </c>
      <c r="L13" s="72">
        <f>I13/G13*100</f>
        <v>93.667099737136283</v>
      </c>
    </row>
    <row r="14" spans="1:16" x14ac:dyDescent="0.25">
      <c r="A14" s="130">
        <v>11</v>
      </c>
      <c r="B14" s="463" t="s">
        <v>108</v>
      </c>
      <c r="C14" s="464"/>
      <c r="D14" s="464"/>
      <c r="E14" s="443">
        <v>22282.37</v>
      </c>
      <c r="F14" s="443"/>
      <c r="G14" s="439">
        <v>34496.120000000003</v>
      </c>
      <c r="H14" s="439"/>
      <c r="I14" s="443">
        <v>30932.92</v>
      </c>
      <c r="J14" s="443"/>
      <c r="K14" s="31">
        <f t="shared" si="1"/>
        <v>138.8223963608898</v>
      </c>
      <c r="L14" s="31">
        <f>I14/G14*100</f>
        <v>89.670722388488898</v>
      </c>
      <c r="N14" s="22"/>
      <c r="O14" s="22"/>
      <c r="P14" s="22"/>
    </row>
    <row r="15" spans="1:16" x14ac:dyDescent="0.25">
      <c r="A15" s="130">
        <v>12</v>
      </c>
      <c r="B15" s="463" t="s">
        <v>109</v>
      </c>
      <c r="C15" s="464"/>
      <c r="D15" s="464"/>
      <c r="E15" s="443">
        <v>9492.89</v>
      </c>
      <c r="F15" s="443"/>
      <c r="G15" s="439">
        <v>21768.78</v>
      </c>
      <c r="H15" s="439"/>
      <c r="I15" s="443">
        <v>21768.78</v>
      </c>
      <c r="J15" s="443"/>
      <c r="K15" s="31">
        <f t="shared" si="1"/>
        <v>229.31667806115948</v>
      </c>
      <c r="L15" s="31">
        <f>I15/G15*100</f>
        <v>100</v>
      </c>
      <c r="N15" s="22"/>
      <c r="O15" s="22"/>
      <c r="P15" s="22"/>
    </row>
    <row r="16" spans="1:16" x14ac:dyDescent="0.25">
      <c r="A16" s="126">
        <v>3</v>
      </c>
      <c r="B16" s="454" t="s">
        <v>153</v>
      </c>
      <c r="C16" s="455"/>
      <c r="D16" s="455"/>
      <c r="E16" s="444">
        <f t="shared" ref="E16" si="2">E17</f>
        <v>14919.28</v>
      </c>
      <c r="F16" s="444"/>
      <c r="G16" s="442">
        <f t="shared" ref="G16:I16" si="3">G17</f>
        <v>1020</v>
      </c>
      <c r="H16" s="442"/>
      <c r="I16" s="444">
        <f t="shared" si="3"/>
        <v>7021.1</v>
      </c>
      <c r="J16" s="444"/>
      <c r="K16" s="30">
        <f t="shared" si="1"/>
        <v>47.06058201200058</v>
      </c>
      <c r="L16" s="30">
        <f t="shared" ref="L16" si="4">I16/G16*100</f>
        <v>688.34313725490199</v>
      </c>
      <c r="N16" s="22"/>
      <c r="O16" s="22"/>
      <c r="P16" s="22"/>
    </row>
    <row r="17" spans="1:17" x14ac:dyDescent="0.25">
      <c r="A17" s="130">
        <v>31</v>
      </c>
      <c r="B17" s="463" t="s">
        <v>110</v>
      </c>
      <c r="C17" s="464"/>
      <c r="D17" s="464"/>
      <c r="E17" s="443">
        <v>14919.28</v>
      </c>
      <c r="F17" s="443"/>
      <c r="G17" s="439">
        <v>1020</v>
      </c>
      <c r="H17" s="439"/>
      <c r="I17" s="443">
        <v>7021.1</v>
      </c>
      <c r="J17" s="443"/>
      <c r="K17" s="31">
        <f t="shared" si="1"/>
        <v>47.06058201200058</v>
      </c>
      <c r="L17" s="31">
        <f t="shared" ref="L17:L29" si="5">I17/G17*100</f>
        <v>688.34313725490199</v>
      </c>
      <c r="N17" s="22"/>
    </row>
    <row r="18" spans="1:17" x14ac:dyDescent="0.25">
      <c r="A18" s="126">
        <v>4</v>
      </c>
      <c r="B18" s="148" t="s">
        <v>106</v>
      </c>
      <c r="C18" s="149"/>
      <c r="D18" s="149"/>
      <c r="E18" s="444">
        <f t="shared" ref="E18" si="6">E19+E20+E21</f>
        <v>164560.24</v>
      </c>
      <c r="F18" s="444"/>
      <c r="G18" s="442">
        <f t="shared" ref="G18:I18" si="7">G19+G20+G21</f>
        <v>214352.39</v>
      </c>
      <c r="H18" s="442"/>
      <c r="I18" s="444">
        <f t="shared" si="7"/>
        <v>215475.66999999998</v>
      </c>
      <c r="J18" s="444"/>
      <c r="K18" s="30">
        <f t="shared" si="1"/>
        <v>130.9402988230936</v>
      </c>
      <c r="L18" s="30">
        <f t="shared" ref="L18" si="8">I18/G18*100</f>
        <v>100.52403427832084</v>
      </c>
      <c r="N18" s="22"/>
    </row>
    <row r="19" spans="1:17" x14ac:dyDescent="0.25">
      <c r="A19" s="130">
        <v>41</v>
      </c>
      <c r="B19" s="150" t="s">
        <v>106</v>
      </c>
      <c r="C19" s="151"/>
      <c r="D19" s="151"/>
      <c r="E19" s="443">
        <v>1379.57</v>
      </c>
      <c r="F19" s="443"/>
      <c r="G19" s="439">
        <v>20</v>
      </c>
      <c r="H19" s="439"/>
      <c r="I19" s="443">
        <v>1157.26</v>
      </c>
      <c r="J19" s="443"/>
      <c r="K19" s="31">
        <f t="shared" si="1"/>
        <v>83.885558543604162</v>
      </c>
      <c r="L19" s="31">
        <f t="shared" si="5"/>
        <v>5786.3</v>
      </c>
      <c r="N19" s="22"/>
      <c r="O19" s="22"/>
      <c r="P19" s="22"/>
    </row>
    <row r="20" spans="1:17" x14ac:dyDescent="0.25">
      <c r="A20" s="130">
        <v>42</v>
      </c>
      <c r="B20" s="150" t="s">
        <v>111</v>
      </c>
      <c r="C20" s="151"/>
      <c r="D20" s="151"/>
      <c r="E20" s="443">
        <v>28081.59</v>
      </c>
      <c r="F20" s="443"/>
      <c r="G20" s="439">
        <v>54932.639999999999</v>
      </c>
      <c r="H20" s="439"/>
      <c r="I20" s="443">
        <v>54932.639999999999</v>
      </c>
      <c r="J20" s="443"/>
      <c r="K20" s="31">
        <f t="shared" si="1"/>
        <v>195.6179831697564</v>
      </c>
      <c r="L20" s="31">
        <f t="shared" si="5"/>
        <v>100</v>
      </c>
      <c r="N20" s="22"/>
      <c r="O20" s="22"/>
      <c r="P20" s="22"/>
    </row>
    <row r="21" spans="1:17" x14ac:dyDescent="0.25">
      <c r="A21" s="130">
        <v>45</v>
      </c>
      <c r="B21" s="150" t="s">
        <v>112</v>
      </c>
      <c r="C21" s="151"/>
      <c r="D21" s="151"/>
      <c r="E21" s="443">
        <v>135099.07999999999</v>
      </c>
      <c r="F21" s="443"/>
      <c r="G21" s="439">
        <v>159399.75</v>
      </c>
      <c r="H21" s="439"/>
      <c r="I21" s="443">
        <v>159385.76999999999</v>
      </c>
      <c r="J21" s="443"/>
      <c r="K21" s="31">
        <f t="shared" si="1"/>
        <v>117.97694699327339</v>
      </c>
      <c r="L21" s="31">
        <f t="shared" si="5"/>
        <v>99.991229597286065</v>
      </c>
      <c r="N21" s="22"/>
    </row>
    <row r="22" spans="1:17" x14ac:dyDescent="0.25">
      <c r="A22" s="126">
        <v>5</v>
      </c>
      <c r="B22" s="454" t="s">
        <v>154</v>
      </c>
      <c r="C22" s="455"/>
      <c r="D22" s="455"/>
      <c r="E22" s="444">
        <f>E23+E24</f>
        <v>2083831.1600000001</v>
      </c>
      <c r="F22" s="444"/>
      <c r="G22" s="442">
        <f>G23+G24</f>
        <v>2290064</v>
      </c>
      <c r="H22" s="442"/>
      <c r="I22" s="444">
        <f>I23+I24</f>
        <v>2376511.88</v>
      </c>
      <c r="J22" s="444"/>
      <c r="K22" s="30">
        <f t="shared" si="1"/>
        <v>114.0453183356755</v>
      </c>
      <c r="L22" s="30">
        <f t="shared" ref="L22" si="9">I22/G22*100</f>
        <v>103.77491109418774</v>
      </c>
      <c r="N22" s="22"/>
    </row>
    <row r="23" spans="1:17" x14ac:dyDescent="0.25">
      <c r="A23" s="130">
        <v>51</v>
      </c>
      <c r="B23" s="463" t="s">
        <v>113</v>
      </c>
      <c r="C23" s="464"/>
      <c r="D23" s="464"/>
      <c r="E23" s="443">
        <f>22142.33+797+2011066.57+1566+1354.07</f>
        <v>2036925.9700000002</v>
      </c>
      <c r="F23" s="443"/>
      <c r="G23" s="439">
        <v>2081446.1</v>
      </c>
      <c r="H23" s="439"/>
      <c r="I23" s="443">
        <f>750+2136921.3+11000+1700+15577.58+1116.1</f>
        <v>2167064.98</v>
      </c>
      <c r="J23" s="443"/>
      <c r="K23" s="31">
        <f t="shared" si="1"/>
        <v>106.38899066125606</v>
      </c>
      <c r="L23" s="31">
        <f t="shared" si="5"/>
        <v>104.1134324833105</v>
      </c>
      <c r="N23" s="22"/>
      <c r="O23" s="22"/>
      <c r="P23" s="22"/>
      <c r="Q23" s="22"/>
    </row>
    <row r="24" spans="1:17" x14ac:dyDescent="0.25">
      <c r="A24" s="130">
        <v>54</v>
      </c>
      <c r="B24" s="463" t="s">
        <v>114</v>
      </c>
      <c r="C24" s="464"/>
      <c r="D24" s="464"/>
      <c r="E24" s="443">
        <f>39384+7521.19</f>
        <v>46905.19</v>
      </c>
      <c r="F24" s="443"/>
      <c r="G24" s="439">
        <v>208617.9</v>
      </c>
      <c r="H24" s="439"/>
      <c r="I24" s="443">
        <f>2417+88888.4+118141.5</f>
        <v>209446.9</v>
      </c>
      <c r="J24" s="443"/>
      <c r="K24" s="31">
        <f t="shared" si="1"/>
        <v>446.53246261234631</v>
      </c>
      <c r="L24" s="31">
        <f t="shared" si="5"/>
        <v>100.39737721451516</v>
      </c>
      <c r="N24" s="22"/>
      <c r="O24" s="22"/>
    </row>
    <row r="25" spans="1:17" x14ac:dyDescent="0.25">
      <c r="A25" s="126">
        <v>6</v>
      </c>
      <c r="B25" s="454" t="s">
        <v>155</v>
      </c>
      <c r="C25" s="455"/>
      <c r="D25" s="455"/>
      <c r="E25" s="444">
        <f>E26</f>
        <v>6840</v>
      </c>
      <c r="F25" s="444"/>
      <c r="G25" s="442">
        <f>G26</f>
        <v>5010</v>
      </c>
      <c r="H25" s="442"/>
      <c r="I25" s="444">
        <f>I26</f>
        <v>4620</v>
      </c>
      <c r="J25" s="444"/>
      <c r="K25" s="30">
        <f t="shared" si="1"/>
        <v>67.543859649122808</v>
      </c>
      <c r="L25" s="30">
        <f t="shared" ref="L25" si="10">I25/G25*100</f>
        <v>92.215568862275461</v>
      </c>
      <c r="N25" s="22"/>
      <c r="O25" s="22"/>
    </row>
    <row r="26" spans="1:17" x14ac:dyDescent="0.25">
      <c r="A26" s="130">
        <v>61</v>
      </c>
      <c r="B26" s="463" t="s">
        <v>115</v>
      </c>
      <c r="C26" s="464"/>
      <c r="D26" s="464"/>
      <c r="E26" s="443">
        <v>6840</v>
      </c>
      <c r="F26" s="443"/>
      <c r="G26" s="457">
        <v>5010</v>
      </c>
      <c r="H26" s="457"/>
      <c r="I26" s="443">
        <v>4620</v>
      </c>
      <c r="J26" s="443"/>
      <c r="K26" s="31">
        <f t="shared" si="1"/>
        <v>67.543859649122808</v>
      </c>
      <c r="L26" s="31">
        <f t="shared" si="5"/>
        <v>92.215568862275461</v>
      </c>
      <c r="N26" s="22"/>
      <c r="O26" s="22"/>
      <c r="Q26" s="22"/>
    </row>
    <row r="27" spans="1:17" s="62" customFormat="1" x14ac:dyDescent="0.25">
      <c r="A27" s="126">
        <v>7</v>
      </c>
      <c r="B27" s="454" t="s">
        <v>206</v>
      </c>
      <c r="C27" s="455"/>
      <c r="D27" s="455"/>
      <c r="E27" s="444">
        <f>SUM(E28)</f>
        <v>0</v>
      </c>
      <c r="F27" s="444"/>
      <c r="G27" s="442">
        <f>SUM(G28)</f>
        <v>10</v>
      </c>
      <c r="H27" s="442"/>
      <c r="I27" s="444">
        <f>SUM(I28)</f>
        <v>0</v>
      </c>
      <c r="J27" s="444"/>
      <c r="K27" s="31" t="e">
        <f t="shared" si="1"/>
        <v>#DIV/0!</v>
      </c>
      <c r="L27" s="31">
        <f t="shared" si="5"/>
        <v>0</v>
      </c>
      <c r="N27" s="22"/>
      <c r="O27" s="22"/>
    </row>
    <row r="28" spans="1:17" s="62" customFormat="1" ht="15.75" thickBot="1" x14ac:dyDescent="0.3">
      <c r="A28" s="212">
        <v>71</v>
      </c>
      <c r="B28" s="452" t="s">
        <v>206</v>
      </c>
      <c r="C28" s="453"/>
      <c r="D28" s="453"/>
      <c r="E28" s="467">
        <v>0</v>
      </c>
      <c r="F28" s="467"/>
      <c r="G28" s="456">
        <v>10</v>
      </c>
      <c r="H28" s="456"/>
      <c r="I28" s="467">
        <v>0</v>
      </c>
      <c r="J28" s="467"/>
      <c r="K28" s="213" t="e">
        <f t="shared" si="1"/>
        <v>#DIV/0!</v>
      </c>
      <c r="L28" s="213">
        <f t="shared" si="5"/>
        <v>0</v>
      </c>
      <c r="N28" s="22"/>
      <c r="O28" s="22"/>
    </row>
    <row r="29" spans="1:17" ht="15.75" thickBot="1" x14ac:dyDescent="0.3">
      <c r="A29" s="458" t="s">
        <v>107</v>
      </c>
      <c r="B29" s="458"/>
      <c r="C29" s="458"/>
      <c r="D29" s="458"/>
      <c r="E29" s="471">
        <f>SUM(E13+E16+E18+E22+E25+E27)</f>
        <v>2301925.94</v>
      </c>
      <c r="F29" s="472"/>
      <c r="G29" s="471">
        <f>SUM(G13+G16+G18+G22+G25+G27)</f>
        <v>2566721.29</v>
      </c>
      <c r="H29" s="470"/>
      <c r="I29" s="459">
        <f>SUM(I13+I16+I18+I22+I25+I27)</f>
        <v>2656330.3499999996</v>
      </c>
      <c r="J29" s="460"/>
      <c r="K29" s="36">
        <f t="shared" si="1"/>
        <v>115.39599532033597</v>
      </c>
      <c r="L29" s="36">
        <f t="shared" si="5"/>
        <v>103.49118777909851</v>
      </c>
      <c r="O29" s="22"/>
      <c r="P29" s="22"/>
      <c r="Q29" s="22"/>
    </row>
    <row r="30" spans="1:17" x14ac:dyDescent="0.25">
      <c r="E30" s="62"/>
      <c r="F30" s="62"/>
      <c r="N30" s="22"/>
    </row>
    <row r="31" spans="1:17" ht="15.75" thickBot="1" x14ac:dyDescent="0.3">
      <c r="A31" s="1" t="s">
        <v>157</v>
      </c>
      <c r="E31" s="62"/>
      <c r="F31" s="62"/>
      <c r="O31" s="22"/>
      <c r="P31" s="22"/>
    </row>
    <row r="32" spans="1:17" ht="15" customHeight="1" x14ac:dyDescent="0.25">
      <c r="A32" s="446" t="s">
        <v>136</v>
      </c>
      <c r="B32" s="447"/>
      <c r="C32" s="447"/>
      <c r="D32" s="447"/>
      <c r="E32" s="265" t="s">
        <v>186</v>
      </c>
      <c r="F32" s="266"/>
      <c r="G32" s="265" t="s">
        <v>267</v>
      </c>
      <c r="H32" s="266"/>
      <c r="I32" s="449" t="s">
        <v>225</v>
      </c>
      <c r="J32" s="449"/>
      <c r="K32" s="17" t="s">
        <v>38</v>
      </c>
      <c r="L32" s="17" t="s">
        <v>38</v>
      </c>
    </row>
    <row r="33" spans="1:16" x14ac:dyDescent="0.25">
      <c r="A33" s="23" t="s">
        <v>117</v>
      </c>
      <c r="B33" s="448" t="s">
        <v>118</v>
      </c>
      <c r="C33" s="448"/>
      <c r="D33" s="448"/>
      <c r="E33" s="267"/>
      <c r="F33" s="268"/>
      <c r="G33" s="267"/>
      <c r="H33" s="268"/>
      <c r="I33" s="450"/>
      <c r="J33" s="450"/>
      <c r="K33" s="223" t="s">
        <v>265</v>
      </c>
      <c r="L33" s="224" t="s">
        <v>264</v>
      </c>
      <c r="N33" s="22"/>
    </row>
    <row r="34" spans="1:16" ht="15.75" thickBot="1" x14ac:dyDescent="0.3">
      <c r="A34" s="384">
        <v>1</v>
      </c>
      <c r="B34" s="385"/>
      <c r="C34" s="385"/>
      <c r="D34" s="385"/>
      <c r="E34" s="384">
        <v>2</v>
      </c>
      <c r="F34" s="385"/>
      <c r="G34" s="384">
        <v>3</v>
      </c>
      <c r="H34" s="385"/>
      <c r="I34" s="445">
        <v>4</v>
      </c>
      <c r="J34" s="445"/>
      <c r="K34" s="18">
        <v>5</v>
      </c>
      <c r="L34" s="18">
        <v>6</v>
      </c>
    </row>
    <row r="35" spans="1:16" x14ac:dyDescent="0.25">
      <c r="A35" s="24">
        <v>1</v>
      </c>
      <c r="B35" s="465" t="s">
        <v>108</v>
      </c>
      <c r="C35" s="465"/>
      <c r="D35" s="466"/>
      <c r="E35" s="451">
        <f>E36+E37</f>
        <v>31775.26</v>
      </c>
      <c r="F35" s="451"/>
      <c r="G35" s="451">
        <f>G36+G37</f>
        <v>56264.9</v>
      </c>
      <c r="H35" s="451"/>
      <c r="I35" s="451">
        <f t="shared" ref="I35" si="11">I36+I37</f>
        <v>57588.049999999996</v>
      </c>
      <c r="J35" s="451"/>
      <c r="K35" s="72">
        <f t="shared" ref="K35:K51" si="12">I35/E35*100</f>
        <v>181.23549579137983</v>
      </c>
      <c r="L35" s="72">
        <f>I35/G35*100</f>
        <v>102.35164374236867</v>
      </c>
    </row>
    <row r="36" spans="1:16" x14ac:dyDescent="0.25">
      <c r="A36" s="9">
        <v>11</v>
      </c>
      <c r="B36" s="419" t="s">
        <v>108</v>
      </c>
      <c r="C36" s="419"/>
      <c r="D36" s="420"/>
      <c r="E36" s="270">
        <v>22282.37</v>
      </c>
      <c r="F36" s="271"/>
      <c r="G36" s="439">
        <v>34496.120000000003</v>
      </c>
      <c r="H36" s="439"/>
      <c r="I36" s="270">
        <v>35819.269999999997</v>
      </c>
      <c r="J36" s="271"/>
      <c r="K36" s="49">
        <f t="shared" si="12"/>
        <v>160.75161663682991</v>
      </c>
      <c r="L36" s="49">
        <f>I36/G36*100</f>
        <v>103.83564876281737</v>
      </c>
    </row>
    <row r="37" spans="1:16" x14ac:dyDescent="0.25">
      <c r="A37" s="10">
        <v>12</v>
      </c>
      <c r="B37" s="4" t="s">
        <v>109</v>
      </c>
      <c r="C37" s="4"/>
      <c r="D37" s="4"/>
      <c r="E37" s="270">
        <v>9492.89</v>
      </c>
      <c r="F37" s="271"/>
      <c r="G37" s="439">
        <v>21768.78</v>
      </c>
      <c r="H37" s="439"/>
      <c r="I37" s="270">
        <v>21768.78</v>
      </c>
      <c r="J37" s="271"/>
      <c r="K37" s="31">
        <f t="shared" si="12"/>
        <v>229.31667806115948</v>
      </c>
      <c r="L37" s="31">
        <f>I37/G37*100</f>
        <v>100</v>
      </c>
    </row>
    <row r="38" spans="1:16" x14ac:dyDescent="0.25">
      <c r="A38" s="15">
        <v>3</v>
      </c>
      <c r="B38" s="427" t="s">
        <v>153</v>
      </c>
      <c r="C38" s="427"/>
      <c r="D38" s="428"/>
      <c r="E38" s="440">
        <f t="shared" ref="E38" si="13">E39</f>
        <v>6259.89</v>
      </c>
      <c r="F38" s="441"/>
      <c r="G38" s="442">
        <f t="shared" ref="G38" si="14">G39</f>
        <v>1020</v>
      </c>
      <c r="H38" s="442"/>
      <c r="I38" s="440">
        <f t="shared" ref="I38" si="15">I39</f>
        <v>3918.54</v>
      </c>
      <c r="J38" s="441"/>
      <c r="K38" s="30">
        <f t="shared" si="12"/>
        <v>62.597585580577288</v>
      </c>
      <c r="L38" s="30">
        <f t="shared" ref="L38:L50" si="16">I38/G38*100</f>
        <v>384.17058823529413</v>
      </c>
    </row>
    <row r="39" spans="1:16" x14ac:dyDescent="0.25">
      <c r="A39" s="10">
        <v>31</v>
      </c>
      <c r="B39" s="4" t="s">
        <v>110</v>
      </c>
      <c r="C39" s="4"/>
      <c r="D39" s="4"/>
      <c r="E39" s="270">
        <v>6259.89</v>
      </c>
      <c r="F39" s="271"/>
      <c r="G39" s="439">
        <v>1020</v>
      </c>
      <c r="H39" s="439"/>
      <c r="I39" s="270">
        <v>3918.54</v>
      </c>
      <c r="J39" s="271"/>
      <c r="K39" s="31">
        <f t="shared" si="12"/>
        <v>62.597585580577288</v>
      </c>
      <c r="L39" s="31">
        <f>I39/G39*100</f>
        <v>384.17058823529413</v>
      </c>
    </row>
    <row r="40" spans="1:16" x14ac:dyDescent="0.25">
      <c r="A40" s="15">
        <v>4</v>
      </c>
      <c r="B40" s="5" t="s">
        <v>106</v>
      </c>
      <c r="C40" s="5"/>
      <c r="D40" s="5"/>
      <c r="E40" s="440">
        <f t="shared" ref="E40" si="17">E41+E42+E43</f>
        <v>151638.71999999997</v>
      </c>
      <c r="F40" s="441"/>
      <c r="G40" s="442">
        <f t="shared" ref="G40" si="18">G41+G42+G43</f>
        <v>214352.39</v>
      </c>
      <c r="H40" s="442"/>
      <c r="I40" s="440">
        <f t="shared" ref="I40" si="19">I41+I42+I43</f>
        <v>222210.90999999997</v>
      </c>
      <c r="J40" s="441"/>
      <c r="K40" s="30">
        <f t="shared" si="12"/>
        <v>146.53968986285298</v>
      </c>
      <c r="L40" s="30">
        <f t="shared" si="16"/>
        <v>103.66616859275513</v>
      </c>
    </row>
    <row r="41" spans="1:16" x14ac:dyDescent="0.25">
      <c r="A41" s="10">
        <v>41</v>
      </c>
      <c r="B41" s="4" t="s">
        <v>106</v>
      </c>
      <c r="C41" s="4"/>
      <c r="D41" s="4"/>
      <c r="E41" s="270">
        <v>0</v>
      </c>
      <c r="F41" s="271"/>
      <c r="G41" s="439">
        <v>20</v>
      </c>
      <c r="H41" s="439"/>
      <c r="I41" s="270"/>
      <c r="J41" s="271"/>
      <c r="K41" s="31" t="e">
        <f t="shared" si="12"/>
        <v>#DIV/0!</v>
      </c>
      <c r="L41" s="31">
        <f t="shared" si="16"/>
        <v>0</v>
      </c>
    </row>
    <row r="42" spans="1:16" x14ac:dyDescent="0.25">
      <c r="A42" s="10">
        <v>42</v>
      </c>
      <c r="B42" s="4" t="s">
        <v>111</v>
      </c>
      <c r="C42" s="4"/>
      <c r="D42" s="4"/>
      <c r="E42" s="270">
        <v>16539.64</v>
      </c>
      <c r="F42" s="271"/>
      <c r="G42" s="439">
        <v>54932.639999999999</v>
      </c>
      <c r="H42" s="439"/>
      <c r="I42" s="270">
        <v>54656.89</v>
      </c>
      <c r="J42" s="271"/>
      <c r="K42" s="31">
        <f t="shared" si="12"/>
        <v>330.45997373582497</v>
      </c>
      <c r="L42" s="31">
        <f t="shared" si="16"/>
        <v>99.498021576971368</v>
      </c>
      <c r="N42" s="22"/>
    </row>
    <row r="43" spans="1:16" x14ac:dyDescent="0.25">
      <c r="A43" s="10">
        <v>45</v>
      </c>
      <c r="B43" s="4" t="s">
        <v>112</v>
      </c>
      <c r="C43" s="4"/>
      <c r="D43" s="4"/>
      <c r="E43" s="270">
        <v>135099.07999999999</v>
      </c>
      <c r="F43" s="271"/>
      <c r="G43" s="439">
        <v>159399.75</v>
      </c>
      <c r="H43" s="439"/>
      <c r="I43" s="270">
        <v>167554.01999999999</v>
      </c>
      <c r="J43" s="271"/>
      <c r="K43" s="31">
        <f t="shared" si="12"/>
        <v>124.02306514596546</v>
      </c>
      <c r="L43" s="31">
        <f t="shared" si="16"/>
        <v>105.11561028169743</v>
      </c>
    </row>
    <row r="44" spans="1:16" x14ac:dyDescent="0.25">
      <c r="A44" s="15">
        <v>5</v>
      </c>
      <c r="B44" s="427" t="s">
        <v>154</v>
      </c>
      <c r="C44" s="427"/>
      <c r="D44" s="428"/>
      <c r="E44" s="440">
        <f>E45+E46</f>
        <v>2051479.43</v>
      </c>
      <c r="F44" s="441"/>
      <c r="G44" s="442">
        <f>G45+G46</f>
        <v>2290064</v>
      </c>
      <c r="H44" s="442"/>
      <c r="I44" s="440">
        <f>I45+I46</f>
        <v>2458048.5100000002</v>
      </c>
      <c r="J44" s="441"/>
      <c r="K44" s="30">
        <f t="shared" si="12"/>
        <v>119.81833568762619</v>
      </c>
      <c r="L44" s="30">
        <f t="shared" si="16"/>
        <v>107.33536311648932</v>
      </c>
    </row>
    <row r="45" spans="1:16" x14ac:dyDescent="0.25">
      <c r="A45" s="10">
        <v>51</v>
      </c>
      <c r="B45" s="419" t="s">
        <v>113</v>
      </c>
      <c r="C45" s="419"/>
      <c r="D45" s="420"/>
      <c r="E45" s="270">
        <v>2036362.28</v>
      </c>
      <c r="F45" s="271"/>
      <c r="G45" s="439">
        <v>2081446.1</v>
      </c>
      <c r="H45" s="439"/>
      <c r="I45" s="270">
        <v>2443710.56</v>
      </c>
      <c r="J45" s="271"/>
      <c r="K45" s="31">
        <f t="shared" si="12"/>
        <v>120.00372350248011</v>
      </c>
      <c r="L45" s="31">
        <f t="shared" si="16"/>
        <v>117.40446029325477</v>
      </c>
    </row>
    <row r="46" spans="1:16" s="62" customFormat="1" x14ac:dyDescent="0.25">
      <c r="A46" s="10">
        <v>54</v>
      </c>
      <c r="B46" s="419" t="s">
        <v>114</v>
      </c>
      <c r="C46" s="419"/>
      <c r="D46" s="420"/>
      <c r="E46" s="270">
        <v>15117.15</v>
      </c>
      <c r="F46" s="271"/>
      <c r="G46" s="439">
        <v>208617.9</v>
      </c>
      <c r="H46" s="439"/>
      <c r="I46" s="270">
        <v>14337.95</v>
      </c>
      <c r="J46" s="271"/>
      <c r="K46" s="31">
        <f t="shared" si="12"/>
        <v>94.845589281048348</v>
      </c>
      <c r="L46" s="31">
        <f t="shared" si="16"/>
        <v>6.8728282664143396</v>
      </c>
      <c r="O46"/>
      <c r="P46"/>
    </row>
    <row r="47" spans="1:16" s="62" customFormat="1" x14ac:dyDescent="0.25">
      <c r="A47" s="126">
        <v>6</v>
      </c>
      <c r="B47" s="476" t="s">
        <v>155</v>
      </c>
      <c r="C47" s="427"/>
      <c r="D47" s="477"/>
      <c r="E47" s="440">
        <f>E48</f>
        <v>5840</v>
      </c>
      <c r="F47" s="441"/>
      <c r="G47" s="442">
        <f>G48</f>
        <v>5010</v>
      </c>
      <c r="H47" s="442"/>
      <c r="I47" s="440">
        <f>I48</f>
        <v>4330</v>
      </c>
      <c r="J47" s="441"/>
      <c r="K47" s="30">
        <f t="shared" si="12"/>
        <v>74.143835616438352</v>
      </c>
      <c r="L47" s="30">
        <f t="shared" si="16"/>
        <v>86.427145708582827</v>
      </c>
    </row>
    <row r="48" spans="1:16" s="62" customFormat="1" x14ac:dyDescent="0.25">
      <c r="A48" s="127">
        <v>61</v>
      </c>
      <c r="B48" s="474" t="s">
        <v>115</v>
      </c>
      <c r="C48" s="474"/>
      <c r="D48" s="474"/>
      <c r="E48" s="481">
        <v>5840</v>
      </c>
      <c r="F48" s="482"/>
      <c r="G48" s="457">
        <v>5010</v>
      </c>
      <c r="H48" s="457"/>
      <c r="I48" s="481">
        <v>4330</v>
      </c>
      <c r="J48" s="482"/>
      <c r="K48" s="31">
        <f t="shared" si="12"/>
        <v>74.143835616438352</v>
      </c>
      <c r="L48" s="30">
        <f t="shared" si="16"/>
        <v>86.427145708582827</v>
      </c>
      <c r="N48" s="22"/>
      <c r="O48" s="22"/>
    </row>
    <row r="49" spans="1:16" s="62" customFormat="1" x14ac:dyDescent="0.25">
      <c r="A49" s="126">
        <v>7</v>
      </c>
      <c r="B49" s="475" t="s">
        <v>206</v>
      </c>
      <c r="C49" s="475"/>
      <c r="D49" s="475"/>
      <c r="E49" s="480">
        <f>SUM(E50)</f>
        <v>0</v>
      </c>
      <c r="F49" s="441"/>
      <c r="G49" s="442">
        <f>SUM(G50)</f>
        <v>10</v>
      </c>
      <c r="H49" s="442"/>
      <c r="I49" s="480">
        <f>SUM(I50)</f>
        <v>0</v>
      </c>
      <c r="J49" s="441"/>
      <c r="K49" s="31" t="e">
        <f t="shared" si="12"/>
        <v>#DIV/0!</v>
      </c>
      <c r="L49" s="30">
        <f t="shared" si="16"/>
        <v>0</v>
      </c>
      <c r="N49" s="22"/>
      <c r="O49" s="22"/>
    </row>
    <row r="50" spans="1:16" s="62" customFormat="1" ht="15.75" thickBot="1" x14ac:dyDescent="0.3">
      <c r="A50" s="127">
        <v>71</v>
      </c>
      <c r="B50" s="473" t="s">
        <v>206</v>
      </c>
      <c r="C50" s="473"/>
      <c r="D50" s="473"/>
      <c r="E50" s="478">
        <v>0</v>
      </c>
      <c r="F50" s="479"/>
      <c r="G50" s="457">
        <v>10</v>
      </c>
      <c r="H50" s="457"/>
      <c r="I50" s="478">
        <v>0</v>
      </c>
      <c r="J50" s="479"/>
      <c r="K50" s="31" t="e">
        <f t="shared" si="12"/>
        <v>#DIV/0!</v>
      </c>
      <c r="L50" s="30">
        <f t="shared" si="16"/>
        <v>0</v>
      </c>
      <c r="N50" s="22"/>
      <c r="O50" s="22"/>
    </row>
    <row r="51" spans="1:16" s="62" customFormat="1" ht="15.75" thickBot="1" x14ac:dyDescent="0.3">
      <c r="A51" s="468" t="s">
        <v>107</v>
      </c>
      <c r="B51" s="469"/>
      <c r="C51" s="469"/>
      <c r="D51" s="470"/>
      <c r="E51" s="471">
        <f>E35+E38+E40+E44+E48+E49</f>
        <v>2246993.2999999998</v>
      </c>
      <c r="F51" s="472"/>
      <c r="G51" s="471">
        <f>SUM(G35+G38+G40+G44+G47+G49)</f>
        <v>2566721.29</v>
      </c>
      <c r="H51" s="472"/>
      <c r="I51" s="471">
        <f>SUM(I35+I38+I40+I44+I47+I49)</f>
        <v>2746096.0100000002</v>
      </c>
      <c r="J51" s="472"/>
      <c r="K51" s="36">
        <f t="shared" si="12"/>
        <v>122.21202484226367</v>
      </c>
      <c r="L51" s="36">
        <f t="shared" ref="L51" si="20">I51/G51*100</f>
        <v>106.98847672705438</v>
      </c>
      <c r="N51" s="22"/>
      <c r="O51"/>
      <c r="P51"/>
    </row>
    <row r="52" spans="1:16" s="62" customFormat="1" x14ac:dyDescent="0.25">
      <c r="O52"/>
      <c r="P52"/>
    </row>
  </sheetData>
  <customSheetViews>
    <customSheetView guid="{005C429F-8448-44DF-83AD-8A930973E873}" topLeftCell="A4">
      <selection activeCell="O19" sqref="O19"/>
      <pageMargins left="0.7" right="0.7" top="0.75" bottom="0.75" header="0.3" footer="0.3"/>
      <pageSetup paperSize="9" scale="82" orientation="portrait" r:id="rId1"/>
    </customSheetView>
  </customSheetViews>
  <mergeCells count="147">
    <mergeCell ref="I51:J51"/>
    <mergeCell ref="G46:H46"/>
    <mergeCell ref="E46:F46"/>
    <mergeCell ref="I46:J46"/>
    <mergeCell ref="E43:F43"/>
    <mergeCell ref="G43:H43"/>
    <mergeCell ref="I43:J43"/>
    <mergeCell ref="E45:F45"/>
    <mergeCell ref="G45:H45"/>
    <mergeCell ref="E50:F50"/>
    <mergeCell ref="G50:H50"/>
    <mergeCell ref="I50:J50"/>
    <mergeCell ref="E49:F49"/>
    <mergeCell ref="G49:H49"/>
    <mergeCell ref="I49:J49"/>
    <mergeCell ref="E48:F48"/>
    <mergeCell ref="G48:H48"/>
    <mergeCell ref="I48:J48"/>
    <mergeCell ref="I45:J45"/>
    <mergeCell ref="I47:J47"/>
    <mergeCell ref="I44:J44"/>
    <mergeCell ref="A51:D51"/>
    <mergeCell ref="E29:F29"/>
    <mergeCell ref="G29:H29"/>
    <mergeCell ref="E51:F51"/>
    <mergeCell ref="G51:H51"/>
    <mergeCell ref="B24:D24"/>
    <mergeCell ref="B26:D26"/>
    <mergeCell ref="B25:D25"/>
    <mergeCell ref="B50:D50"/>
    <mergeCell ref="B48:D48"/>
    <mergeCell ref="B49:D49"/>
    <mergeCell ref="E44:F44"/>
    <mergeCell ref="G44:H44"/>
    <mergeCell ref="A34:D34"/>
    <mergeCell ref="E34:F34"/>
    <mergeCell ref="B38:D38"/>
    <mergeCell ref="B44:D44"/>
    <mergeCell ref="B45:D45"/>
    <mergeCell ref="B46:D46"/>
    <mergeCell ref="B47:D47"/>
    <mergeCell ref="E47:F47"/>
    <mergeCell ref="G47:H47"/>
    <mergeCell ref="E42:F42"/>
    <mergeCell ref="G42:H42"/>
    <mergeCell ref="I42:J42"/>
    <mergeCell ref="A5:L5"/>
    <mergeCell ref="A6:L6"/>
    <mergeCell ref="I29:J29"/>
    <mergeCell ref="B13:D13"/>
    <mergeCell ref="B14:D14"/>
    <mergeCell ref="B15:D15"/>
    <mergeCell ref="B17:D17"/>
    <mergeCell ref="B23:D23"/>
    <mergeCell ref="B16:D16"/>
    <mergeCell ref="B22:D22"/>
    <mergeCell ref="I22:J22"/>
    <mergeCell ref="I21:J21"/>
    <mergeCell ref="E37:F37"/>
    <mergeCell ref="G37:H37"/>
    <mergeCell ref="I37:J37"/>
    <mergeCell ref="I34:J34"/>
    <mergeCell ref="E35:F35"/>
    <mergeCell ref="G35:H35"/>
    <mergeCell ref="B35:D35"/>
    <mergeCell ref="B36:D36"/>
    <mergeCell ref="G32:H33"/>
    <mergeCell ref="I28:J28"/>
    <mergeCell ref="E28:F28"/>
    <mergeCell ref="A32:D32"/>
    <mergeCell ref="E32:F33"/>
    <mergeCell ref="I32:J33"/>
    <mergeCell ref="B33:D33"/>
    <mergeCell ref="E36:F36"/>
    <mergeCell ref="G36:H36"/>
    <mergeCell ref="I36:J36"/>
    <mergeCell ref="I23:J23"/>
    <mergeCell ref="I35:J35"/>
    <mergeCell ref="I25:J25"/>
    <mergeCell ref="G24:H24"/>
    <mergeCell ref="I24:J24"/>
    <mergeCell ref="G27:H27"/>
    <mergeCell ref="G26:H26"/>
    <mergeCell ref="I26:J26"/>
    <mergeCell ref="E27:F27"/>
    <mergeCell ref="I27:J27"/>
    <mergeCell ref="A29:D29"/>
    <mergeCell ref="G34:H34"/>
    <mergeCell ref="E21:F21"/>
    <mergeCell ref="E23:F23"/>
    <mergeCell ref="E24:F24"/>
    <mergeCell ref="E26:F26"/>
    <mergeCell ref="G23:H23"/>
    <mergeCell ref="B28:D28"/>
    <mergeCell ref="B27:D27"/>
    <mergeCell ref="G28:H28"/>
    <mergeCell ref="G21:H21"/>
    <mergeCell ref="E25:F25"/>
    <mergeCell ref="G25:H25"/>
    <mergeCell ref="E22:F22"/>
    <mergeCell ref="G22:H22"/>
    <mergeCell ref="A7:L7"/>
    <mergeCell ref="A12:D12"/>
    <mergeCell ref="E12:F12"/>
    <mergeCell ref="G12:H12"/>
    <mergeCell ref="I12:J12"/>
    <mergeCell ref="A10:D10"/>
    <mergeCell ref="B11:D11"/>
    <mergeCell ref="E14:F14"/>
    <mergeCell ref="E15:F15"/>
    <mergeCell ref="G10:H11"/>
    <mergeCell ref="E10:F11"/>
    <mergeCell ref="I10:J11"/>
    <mergeCell ref="I14:J14"/>
    <mergeCell ref="G15:H15"/>
    <mergeCell ref="E13:F13"/>
    <mergeCell ref="G13:H13"/>
    <mergeCell ref="I13:J13"/>
    <mergeCell ref="I15:J15"/>
    <mergeCell ref="G14:H14"/>
    <mergeCell ref="I20:J20"/>
    <mergeCell ref="G17:H17"/>
    <mergeCell ref="E16:F16"/>
    <mergeCell ref="E20:F20"/>
    <mergeCell ref="G16:H16"/>
    <mergeCell ref="I16:J16"/>
    <mergeCell ref="E18:F18"/>
    <mergeCell ref="G18:H18"/>
    <mergeCell ref="I18:J18"/>
    <mergeCell ref="I17:J17"/>
    <mergeCell ref="G19:H19"/>
    <mergeCell ref="I19:J19"/>
    <mergeCell ref="E17:F17"/>
    <mergeCell ref="E19:F19"/>
    <mergeCell ref="G20:H20"/>
    <mergeCell ref="E41:F41"/>
    <mergeCell ref="G41:H41"/>
    <mergeCell ref="E40:F40"/>
    <mergeCell ref="G40:H40"/>
    <mergeCell ref="I40:J40"/>
    <mergeCell ref="G38:H38"/>
    <mergeCell ref="E39:F39"/>
    <mergeCell ref="G39:H39"/>
    <mergeCell ref="I39:J39"/>
    <mergeCell ref="E38:F38"/>
    <mergeCell ref="I38:J38"/>
    <mergeCell ref="I41:J41"/>
  </mergeCells>
  <pageMargins left="0.7" right="0.7" top="0.75" bottom="0.75" header="0.3" footer="0.3"/>
  <pageSetup paperSize="9" scale="65" orientation="portrait" r:id="rId2"/>
  <ignoredErrors>
    <ignoredError sqref="K26:L26 L15 L29 K17:L17 K19:L21 K23:L23 K37:L37 K39 K41:L43 K45:L45 K24:L24 K46:L46 L25 K49:L50 K27:L28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zoomScaleNormal="100" workbookViewId="0"/>
  </sheetViews>
  <sheetFormatPr defaultRowHeight="15" x14ac:dyDescent="0.25"/>
  <cols>
    <col min="4" max="6" width="9.140625" customWidth="1"/>
  </cols>
  <sheetData>
    <row r="1" spans="1:14" x14ac:dyDescent="0.25">
      <c r="A1" s="63" t="s">
        <v>195</v>
      </c>
    </row>
    <row r="2" spans="1:14" x14ac:dyDescent="0.25">
      <c r="A2" s="62" t="s">
        <v>12</v>
      </c>
    </row>
    <row r="3" spans="1:14" x14ac:dyDescent="0.25">
      <c r="A3" s="62" t="s">
        <v>196</v>
      </c>
    </row>
    <row r="5" spans="1:14" x14ac:dyDescent="0.25">
      <c r="A5" s="255" t="s">
        <v>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</row>
    <row r="6" spans="1:14" x14ac:dyDescent="0.25">
      <c r="A6" s="255" t="s">
        <v>146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</row>
    <row r="7" spans="1:14" x14ac:dyDescent="0.25">
      <c r="A7" s="255" t="s">
        <v>149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</row>
    <row r="8" spans="1:14" ht="15.75" thickBot="1" x14ac:dyDescent="0.3"/>
    <row r="9" spans="1:14" ht="15" customHeight="1" x14ac:dyDescent="0.25">
      <c r="A9" s="483" t="s">
        <v>156</v>
      </c>
      <c r="B9" s="484"/>
      <c r="C9" s="484"/>
      <c r="D9" s="484"/>
      <c r="E9" s="484"/>
      <c r="F9" s="485"/>
      <c r="G9" s="265" t="s">
        <v>186</v>
      </c>
      <c r="H9" s="266"/>
      <c r="I9" s="265" t="s">
        <v>267</v>
      </c>
      <c r="J9" s="266"/>
      <c r="K9" s="449" t="s">
        <v>225</v>
      </c>
      <c r="L9" s="449"/>
      <c r="M9" s="17" t="s">
        <v>38</v>
      </c>
      <c r="N9" s="17" t="s">
        <v>38</v>
      </c>
    </row>
    <row r="10" spans="1:14" x14ac:dyDescent="0.25">
      <c r="A10" s="486"/>
      <c r="B10" s="487"/>
      <c r="C10" s="487"/>
      <c r="D10" s="487"/>
      <c r="E10" s="487"/>
      <c r="F10" s="488"/>
      <c r="G10" s="267"/>
      <c r="H10" s="268"/>
      <c r="I10" s="267"/>
      <c r="J10" s="268"/>
      <c r="K10" s="450"/>
      <c r="L10" s="450"/>
      <c r="M10" s="223" t="s">
        <v>265</v>
      </c>
      <c r="N10" s="224" t="s">
        <v>264</v>
      </c>
    </row>
    <row r="11" spans="1:14" ht="15.75" thickBot="1" x14ac:dyDescent="0.3">
      <c r="A11" s="384">
        <v>1</v>
      </c>
      <c r="B11" s="385"/>
      <c r="C11" s="385"/>
      <c r="D11" s="385"/>
      <c r="E11" s="385"/>
      <c r="F11" s="391"/>
      <c r="G11" s="384">
        <v>2</v>
      </c>
      <c r="H11" s="385"/>
      <c r="I11" s="384">
        <v>3</v>
      </c>
      <c r="J11" s="385"/>
      <c r="K11" s="445">
        <v>4</v>
      </c>
      <c r="L11" s="445"/>
      <c r="M11" s="18">
        <v>5</v>
      </c>
      <c r="N11" s="18">
        <v>6</v>
      </c>
    </row>
    <row r="12" spans="1:14" ht="15" customHeight="1" x14ac:dyDescent="0.25">
      <c r="A12" s="46" t="s">
        <v>137</v>
      </c>
      <c r="B12" s="47" t="s">
        <v>138</v>
      </c>
      <c r="C12" s="209"/>
      <c r="D12" s="209"/>
      <c r="E12" s="209"/>
      <c r="F12" s="210"/>
      <c r="G12" s="356">
        <f>G13+G15</f>
        <v>2246993.2999999998</v>
      </c>
      <c r="H12" s="357"/>
      <c r="I12" s="356">
        <f>I13+I15</f>
        <v>2566721.29</v>
      </c>
      <c r="J12" s="357"/>
      <c r="K12" s="356">
        <f t="shared" ref="K12" si="0">K13+K15</f>
        <v>2746096.01</v>
      </c>
      <c r="L12" s="357"/>
      <c r="M12" s="35">
        <f>(K12/G12)*100</f>
        <v>122.21202484226366</v>
      </c>
      <c r="N12" s="35">
        <f>K12/I12*100</f>
        <v>106.98847672705436</v>
      </c>
    </row>
    <row r="13" spans="1:14" ht="15" customHeight="1" x14ac:dyDescent="0.25">
      <c r="A13" s="122" t="s">
        <v>140</v>
      </c>
      <c r="B13" s="5" t="s">
        <v>139</v>
      </c>
      <c r="C13" s="206"/>
      <c r="D13" s="206"/>
      <c r="E13" s="206"/>
      <c r="F13" s="207"/>
      <c r="G13" s="362">
        <f t="shared" ref="G13" si="1">G14</f>
        <v>2244948.02</v>
      </c>
      <c r="H13" s="363"/>
      <c r="I13" s="362">
        <f>I14</f>
        <v>2562721.29</v>
      </c>
      <c r="J13" s="363"/>
      <c r="K13" s="362">
        <f t="shared" ref="K13" si="2">K14</f>
        <v>2744062.4099999997</v>
      </c>
      <c r="L13" s="363"/>
      <c r="M13" s="73">
        <f>K13/G13*100</f>
        <v>122.23278158574023</v>
      </c>
      <c r="N13" s="73">
        <f>K13/I13*100</f>
        <v>107.07611556151701</v>
      </c>
    </row>
    <row r="14" spans="1:14" s="62" customFormat="1" ht="15" customHeight="1" x14ac:dyDescent="0.25">
      <c r="A14" s="119" t="s">
        <v>141</v>
      </c>
      <c r="B14" s="7" t="s">
        <v>142</v>
      </c>
      <c r="C14" s="120"/>
      <c r="D14" s="120"/>
      <c r="E14" s="120"/>
      <c r="F14" s="121"/>
      <c r="G14" s="373">
        <f>2246993.3-G16</f>
        <v>2244948.02</v>
      </c>
      <c r="H14" s="374"/>
      <c r="I14" s="373">
        <f>2566721.29-I16</f>
        <v>2562721.29</v>
      </c>
      <c r="J14" s="374"/>
      <c r="K14" s="373">
        <f>2746096.01-K16</f>
        <v>2744062.4099999997</v>
      </c>
      <c r="L14" s="374"/>
      <c r="M14" s="48">
        <f>K14/G14*100</f>
        <v>122.23278158574023</v>
      </c>
      <c r="N14" s="48">
        <f>K14/I14*100</f>
        <v>107.07611556151701</v>
      </c>
    </row>
    <row r="15" spans="1:14" x14ac:dyDescent="0.25">
      <c r="A15" s="122" t="s">
        <v>230</v>
      </c>
      <c r="B15" s="5" t="s">
        <v>231</v>
      </c>
      <c r="C15" s="206"/>
      <c r="D15" s="206"/>
      <c r="E15" s="206"/>
      <c r="F15" s="207"/>
      <c r="G15" s="362">
        <f>G16</f>
        <v>2045.28</v>
      </c>
      <c r="H15" s="363"/>
      <c r="I15" s="362">
        <f t="shared" ref="I15" si="3">I16</f>
        <v>4000</v>
      </c>
      <c r="J15" s="363"/>
      <c r="K15" s="362">
        <f t="shared" ref="K15" si="4">K16</f>
        <v>2033.6</v>
      </c>
      <c r="L15" s="363"/>
      <c r="M15" s="73">
        <f>K15/G15*100</f>
        <v>99.42892904638974</v>
      </c>
      <c r="N15" s="73">
        <f>K15/I15*100</f>
        <v>50.839999999999996</v>
      </c>
    </row>
    <row r="16" spans="1:14" ht="15.75" thickBot="1" x14ac:dyDescent="0.3">
      <c r="A16" s="214" t="s">
        <v>232</v>
      </c>
      <c r="B16" s="152" t="s">
        <v>231</v>
      </c>
      <c r="C16" s="153"/>
      <c r="D16" s="153"/>
      <c r="E16" s="153"/>
      <c r="F16" s="154"/>
      <c r="G16" s="489">
        <v>2045.28</v>
      </c>
      <c r="H16" s="490"/>
      <c r="I16" s="489">
        <v>4000</v>
      </c>
      <c r="J16" s="490"/>
      <c r="K16" s="489">
        <v>2033.6</v>
      </c>
      <c r="L16" s="490"/>
      <c r="M16" s="155">
        <f>K16/G16*100</f>
        <v>99.42892904638974</v>
      </c>
      <c r="N16" s="155">
        <f>K16/I16*100</f>
        <v>50.839999999999996</v>
      </c>
    </row>
  </sheetData>
  <mergeCells count="26">
    <mergeCell ref="G15:H15"/>
    <mergeCell ref="I15:J15"/>
    <mergeCell ref="K15:L15"/>
    <mergeCell ref="G16:H16"/>
    <mergeCell ref="I16:J16"/>
    <mergeCell ref="K16:L16"/>
    <mergeCell ref="A5:N5"/>
    <mergeCell ref="A6:N6"/>
    <mergeCell ref="A7:N7"/>
    <mergeCell ref="A9:F10"/>
    <mergeCell ref="G9:H10"/>
    <mergeCell ref="I9:J10"/>
    <mergeCell ref="K9:L10"/>
    <mergeCell ref="G12:H12"/>
    <mergeCell ref="I12:J12"/>
    <mergeCell ref="K12:L12"/>
    <mergeCell ref="A11:F11"/>
    <mergeCell ref="G11:H11"/>
    <mergeCell ref="I11:J11"/>
    <mergeCell ref="K11:L11"/>
    <mergeCell ref="G13:H13"/>
    <mergeCell ref="I13:J13"/>
    <mergeCell ref="K13:L13"/>
    <mergeCell ref="G14:H14"/>
    <mergeCell ref="I14:J14"/>
    <mergeCell ref="K14:L14"/>
  </mergeCells>
  <pageMargins left="0.7" right="0.7" top="0.75" bottom="0.75" header="0.3" footer="0.3"/>
  <pageSetup paperSize="9" scale="61" orientation="portrait" verticalDpi="300" r:id="rId1"/>
  <ignoredErrors>
    <ignoredError sqref="M12:N13" evalError="1"/>
    <ignoredError sqref="A12:A16" numberStoredAsText="1"/>
    <ignoredError sqref="G14 I14:L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9"/>
  <sheetViews>
    <sheetView zoomScaleNormal="100" workbookViewId="0"/>
  </sheetViews>
  <sheetFormatPr defaultRowHeight="15" x14ac:dyDescent="0.25"/>
  <sheetData>
    <row r="1" spans="1:15" x14ac:dyDescent="0.25">
      <c r="A1" s="63" t="s">
        <v>195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5" x14ac:dyDescent="0.25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5" x14ac:dyDescent="0.25">
      <c r="A3" s="62" t="s">
        <v>196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5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5" x14ac:dyDescent="0.25">
      <c r="A5" s="255" t="s">
        <v>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</row>
    <row r="6" spans="1:15" x14ac:dyDescent="0.25">
      <c r="A6" s="255" t="s">
        <v>250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</row>
    <row r="7" spans="1:15" x14ac:dyDescent="0.25">
      <c r="A7" s="255" t="s">
        <v>251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</row>
    <row r="8" spans="1:15" ht="15.75" thickBot="1" x14ac:dyDescent="0.3"/>
    <row r="9" spans="1:15" ht="15" customHeight="1" x14ac:dyDescent="0.25">
      <c r="A9" s="491" t="s">
        <v>252</v>
      </c>
      <c r="B9" s="492"/>
      <c r="C9" s="492"/>
      <c r="D9" s="492"/>
      <c r="E9" s="492"/>
      <c r="F9" s="492"/>
      <c r="G9" s="492"/>
      <c r="H9" s="265" t="s">
        <v>186</v>
      </c>
      <c r="I9" s="266"/>
      <c r="J9" s="265" t="s">
        <v>267</v>
      </c>
      <c r="K9" s="266"/>
      <c r="L9" s="449" t="s">
        <v>225</v>
      </c>
      <c r="M9" s="449"/>
      <c r="N9" s="17" t="s">
        <v>38</v>
      </c>
      <c r="O9" s="17" t="s">
        <v>38</v>
      </c>
    </row>
    <row r="10" spans="1:15" x14ac:dyDescent="0.25">
      <c r="A10" s="493"/>
      <c r="B10" s="494"/>
      <c r="C10" s="494"/>
      <c r="D10" s="494"/>
      <c r="E10" s="494"/>
      <c r="F10" s="494"/>
      <c r="G10" s="494"/>
      <c r="H10" s="267"/>
      <c r="I10" s="268"/>
      <c r="J10" s="267"/>
      <c r="K10" s="268"/>
      <c r="L10" s="450"/>
      <c r="M10" s="450"/>
      <c r="N10" s="223" t="s">
        <v>265</v>
      </c>
      <c r="O10" s="224" t="s">
        <v>264</v>
      </c>
    </row>
    <row r="11" spans="1:15" ht="15.75" thickBot="1" x14ac:dyDescent="0.3">
      <c r="A11" s="384">
        <v>1</v>
      </c>
      <c r="B11" s="385"/>
      <c r="C11" s="385"/>
      <c r="D11" s="385"/>
      <c r="E11" s="385"/>
      <c r="F11" s="385"/>
      <c r="G11" s="385"/>
      <c r="H11" s="384">
        <v>2</v>
      </c>
      <c r="I11" s="385"/>
      <c r="J11" s="384">
        <v>3</v>
      </c>
      <c r="K11" s="385"/>
      <c r="L11" s="445">
        <v>4</v>
      </c>
      <c r="M11" s="445"/>
      <c r="N11" s="18">
        <v>5</v>
      </c>
      <c r="O11" s="18">
        <v>6</v>
      </c>
    </row>
    <row r="12" spans="1:15" x14ac:dyDescent="0.25">
      <c r="A12" s="181">
        <v>8</v>
      </c>
      <c r="B12" s="182"/>
      <c r="C12" s="183"/>
      <c r="D12" s="495" t="s">
        <v>253</v>
      </c>
      <c r="E12" s="496"/>
      <c r="F12" s="496"/>
      <c r="G12" s="497"/>
      <c r="H12" s="498"/>
      <c r="I12" s="499"/>
      <c r="J12" s="498"/>
      <c r="K12" s="499"/>
      <c r="L12" s="498"/>
      <c r="M12" s="499"/>
      <c r="N12" s="184" t="e">
        <f>L12/H12</f>
        <v>#DIV/0!</v>
      </c>
      <c r="O12" s="185" t="e">
        <f>L12/J12</f>
        <v>#DIV/0!</v>
      </c>
    </row>
    <row r="13" spans="1:15" x14ac:dyDescent="0.25">
      <c r="A13" s="186"/>
      <c r="B13" s="187">
        <v>84</v>
      </c>
      <c r="C13" s="188"/>
      <c r="D13" s="502" t="s">
        <v>254</v>
      </c>
      <c r="E13" s="502"/>
      <c r="F13" s="502"/>
      <c r="G13" s="502"/>
      <c r="H13" s="503"/>
      <c r="I13" s="504"/>
      <c r="J13" s="503"/>
      <c r="K13" s="504"/>
      <c r="L13" s="503"/>
      <c r="M13" s="504"/>
      <c r="N13" s="185" t="e">
        <f>L13/H13</f>
        <v>#DIV/0!</v>
      </c>
      <c r="O13" s="185" t="e">
        <f>L13/J13</f>
        <v>#DIV/0!</v>
      </c>
    </row>
    <row r="14" spans="1:15" x14ac:dyDescent="0.25">
      <c r="A14" s="186"/>
      <c r="B14" s="187"/>
      <c r="C14" s="189">
        <v>81</v>
      </c>
      <c r="D14" s="505" t="s">
        <v>255</v>
      </c>
      <c r="E14" s="505"/>
      <c r="F14" s="505"/>
      <c r="G14" s="505"/>
      <c r="H14" s="503"/>
      <c r="I14" s="504"/>
      <c r="J14" s="503"/>
      <c r="K14" s="504"/>
      <c r="L14" s="503"/>
      <c r="M14" s="504"/>
      <c r="N14" s="185" t="e">
        <f>L14/H14</f>
        <v>#DIV/0!</v>
      </c>
      <c r="O14" s="185" t="e">
        <f t="shared" ref="O14:O19" si="0">L14/J14</f>
        <v>#DIV/0!</v>
      </c>
    </row>
    <row r="15" spans="1:15" x14ac:dyDescent="0.25">
      <c r="A15" s="190">
        <v>5</v>
      </c>
      <c r="B15" s="191"/>
      <c r="C15" s="192"/>
      <c r="D15" s="512" t="s">
        <v>256</v>
      </c>
      <c r="E15" s="512"/>
      <c r="F15" s="512"/>
      <c r="G15" s="512"/>
      <c r="H15" s="500"/>
      <c r="I15" s="501"/>
      <c r="J15" s="500"/>
      <c r="K15" s="501"/>
      <c r="L15" s="500"/>
      <c r="M15" s="501"/>
      <c r="N15" s="185" t="e">
        <f>L15/H15</f>
        <v>#DIV/0!</v>
      </c>
      <c r="O15" s="185" t="e">
        <f t="shared" si="0"/>
        <v>#DIV/0!</v>
      </c>
    </row>
    <row r="16" spans="1:15" x14ac:dyDescent="0.25">
      <c r="A16" s="193"/>
      <c r="B16" s="191">
        <v>54</v>
      </c>
      <c r="C16" s="192"/>
      <c r="D16" s="513" t="s">
        <v>257</v>
      </c>
      <c r="E16" s="514"/>
      <c r="F16" s="514"/>
      <c r="G16" s="515"/>
      <c r="H16" s="500"/>
      <c r="I16" s="501"/>
      <c r="J16" s="500"/>
      <c r="K16" s="501"/>
      <c r="L16" s="500"/>
      <c r="M16" s="501"/>
      <c r="N16" s="509" t="e">
        <f>L16/H16</f>
        <v>#DIV/0!</v>
      </c>
      <c r="O16" s="509" t="e">
        <f t="shared" si="0"/>
        <v>#DIV/0!</v>
      </c>
    </row>
    <row r="17" spans="1:15" x14ac:dyDescent="0.25">
      <c r="A17" s="194"/>
      <c r="B17" s="195"/>
      <c r="C17" s="196"/>
      <c r="D17" s="516"/>
      <c r="E17" s="517"/>
      <c r="F17" s="517"/>
      <c r="G17" s="518"/>
      <c r="H17" s="197"/>
      <c r="I17" s="198"/>
      <c r="J17" s="197"/>
      <c r="K17" s="198"/>
      <c r="L17" s="197"/>
      <c r="M17" s="198"/>
      <c r="N17" s="510"/>
      <c r="O17" s="510"/>
    </row>
    <row r="18" spans="1:15" x14ac:dyDescent="0.25">
      <c r="A18" s="186"/>
      <c r="B18" s="187"/>
      <c r="C18" s="189">
        <v>11</v>
      </c>
      <c r="D18" s="511" t="s">
        <v>108</v>
      </c>
      <c r="E18" s="511"/>
      <c r="F18" s="511"/>
      <c r="G18" s="511"/>
      <c r="H18" s="500"/>
      <c r="I18" s="501"/>
      <c r="J18" s="500"/>
      <c r="K18" s="501"/>
      <c r="L18" s="500"/>
      <c r="M18" s="501"/>
      <c r="N18" s="185" t="e">
        <f>L18/H18</f>
        <v>#DIV/0!</v>
      </c>
      <c r="O18" s="185" t="e">
        <f t="shared" si="0"/>
        <v>#DIV/0!</v>
      </c>
    </row>
    <row r="19" spans="1:15" ht="15.75" thickBot="1" x14ac:dyDescent="0.3">
      <c r="A19" s="199"/>
      <c r="B19" s="200"/>
      <c r="C19" s="201">
        <v>31</v>
      </c>
      <c r="D19" s="506" t="s">
        <v>160</v>
      </c>
      <c r="E19" s="506"/>
      <c r="F19" s="506"/>
      <c r="G19" s="506"/>
      <c r="H19" s="507"/>
      <c r="I19" s="508"/>
      <c r="J19" s="507"/>
      <c r="K19" s="508"/>
      <c r="L19" s="507"/>
      <c r="M19" s="508"/>
      <c r="N19" s="202" t="e">
        <f>L19/H19</f>
        <v>#DIV/0!</v>
      </c>
      <c r="O19" s="202" t="e">
        <f t="shared" si="0"/>
        <v>#DIV/0!</v>
      </c>
    </row>
  </sheetData>
  <mergeCells count="41">
    <mergeCell ref="D19:G19"/>
    <mergeCell ref="H19:I19"/>
    <mergeCell ref="J19:K19"/>
    <mergeCell ref="L19:M19"/>
    <mergeCell ref="A5:O5"/>
    <mergeCell ref="N16:N17"/>
    <mergeCell ref="O16:O17"/>
    <mergeCell ref="D18:G18"/>
    <mergeCell ref="H18:I18"/>
    <mergeCell ref="J18:K18"/>
    <mergeCell ref="L18:M18"/>
    <mergeCell ref="D15:G15"/>
    <mergeCell ref="H15:I15"/>
    <mergeCell ref="J15:K15"/>
    <mergeCell ref="L15:M15"/>
    <mergeCell ref="D16:G17"/>
    <mergeCell ref="H16:I16"/>
    <mergeCell ref="J16:K16"/>
    <mergeCell ref="L16:M16"/>
    <mergeCell ref="D13:G13"/>
    <mergeCell ref="H13:I13"/>
    <mergeCell ref="J13:K13"/>
    <mergeCell ref="L13:M13"/>
    <mergeCell ref="D14:G14"/>
    <mergeCell ref="H14:I14"/>
    <mergeCell ref="J14:K14"/>
    <mergeCell ref="L14:M14"/>
    <mergeCell ref="A11:G11"/>
    <mergeCell ref="H11:I11"/>
    <mergeCell ref="J11:K11"/>
    <mergeCell ref="L11:M11"/>
    <mergeCell ref="D12:G12"/>
    <mergeCell ref="H12:I12"/>
    <mergeCell ref="J12:K12"/>
    <mergeCell ref="L12:M12"/>
    <mergeCell ref="A6:O6"/>
    <mergeCell ref="A7:O7"/>
    <mergeCell ref="A9:G10"/>
    <mergeCell ref="H9:I10"/>
    <mergeCell ref="J9:K10"/>
    <mergeCell ref="L9:M10"/>
  </mergeCells>
  <pageMargins left="0.7" right="0.7" top="0.75" bottom="0.75" header="0.3" footer="0.3"/>
  <pageSetup paperSize="9" scale="56" orientation="portrait" verticalDpi="0" r:id="rId1"/>
  <ignoredErrors>
    <ignoredError sqref="N12:O19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"/>
  <sheetViews>
    <sheetView zoomScaleNormal="100" workbookViewId="0"/>
  </sheetViews>
  <sheetFormatPr defaultRowHeight="15" x14ac:dyDescent="0.25"/>
  <sheetData>
    <row r="1" spans="1:15" x14ac:dyDescent="0.25">
      <c r="A1" s="63" t="s">
        <v>195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x14ac:dyDescent="0.25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5">
      <c r="A3" s="62" t="s">
        <v>196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x14ac:dyDescent="0.25">
      <c r="A5" s="255" t="s">
        <v>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50"/>
      <c r="N5" s="50"/>
      <c r="O5" s="50"/>
    </row>
    <row r="6" spans="1:15" x14ac:dyDescent="0.25">
      <c r="A6" s="255" t="s">
        <v>250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50"/>
      <c r="N6" s="50"/>
      <c r="O6" s="50"/>
    </row>
    <row r="7" spans="1:15" x14ac:dyDescent="0.25">
      <c r="A7" s="255" t="s">
        <v>258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</row>
    <row r="9" spans="1:15" ht="15.75" thickBot="1" x14ac:dyDescent="0.3">
      <c r="A9" s="63" t="s">
        <v>259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1:15" ht="15" customHeight="1" x14ac:dyDescent="0.25">
      <c r="A10" s="446" t="s">
        <v>136</v>
      </c>
      <c r="B10" s="447"/>
      <c r="C10" s="447"/>
      <c r="D10" s="447"/>
      <c r="E10" s="265" t="s">
        <v>186</v>
      </c>
      <c r="F10" s="266"/>
      <c r="G10" s="265" t="s">
        <v>267</v>
      </c>
      <c r="H10" s="266"/>
      <c r="I10" s="449" t="s">
        <v>225</v>
      </c>
      <c r="J10" s="449"/>
      <c r="K10" s="17" t="s">
        <v>38</v>
      </c>
      <c r="L10" s="17" t="s">
        <v>38</v>
      </c>
    </row>
    <row r="11" spans="1:15" x14ac:dyDescent="0.25">
      <c r="A11" s="23" t="s">
        <v>117</v>
      </c>
      <c r="B11" s="448" t="s">
        <v>118</v>
      </c>
      <c r="C11" s="448"/>
      <c r="D11" s="448"/>
      <c r="E11" s="267"/>
      <c r="F11" s="268"/>
      <c r="G11" s="267"/>
      <c r="H11" s="268"/>
      <c r="I11" s="450"/>
      <c r="J11" s="450"/>
      <c r="K11" s="223" t="s">
        <v>265</v>
      </c>
      <c r="L11" s="224" t="s">
        <v>264</v>
      </c>
    </row>
    <row r="12" spans="1:15" ht="15.75" thickBot="1" x14ac:dyDescent="0.3">
      <c r="A12" s="384">
        <v>1</v>
      </c>
      <c r="B12" s="385"/>
      <c r="C12" s="385"/>
      <c r="D12" s="385"/>
      <c r="E12" s="384">
        <v>2</v>
      </c>
      <c r="F12" s="385"/>
      <c r="G12" s="384">
        <v>3</v>
      </c>
      <c r="H12" s="385"/>
      <c r="I12" s="445">
        <v>4</v>
      </c>
      <c r="J12" s="445"/>
      <c r="K12" s="18">
        <v>5</v>
      </c>
      <c r="L12" s="18">
        <v>6</v>
      </c>
    </row>
    <row r="13" spans="1:15" x14ac:dyDescent="0.25">
      <c r="A13" s="54">
        <v>1</v>
      </c>
      <c r="B13" s="203" t="s">
        <v>108</v>
      </c>
      <c r="C13" s="203"/>
      <c r="D13" s="203"/>
      <c r="E13" s="519">
        <f>E14+E15</f>
        <v>0</v>
      </c>
      <c r="F13" s="520"/>
      <c r="G13" s="519">
        <f t="shared" ref="G13" si="0">G14+G15</f>
        <v>0</v>
      </c>
      <c r="H13" s="520"/>
      <c r="I13" s="519">
        <f t="shared" ref="I13" si="1">I14+I15</f>
        <v>0</v>
      </c>
      <c r="J13" s="520"/>
      <c r="K13" s="30" t="e">
        <f t="shared" ref="K13:K19" si="2">I13/E13*100</f>
        <v>#DIV/0!</v>
      </c>
      <c r="L13" s="30" t="e">
        <f>I13/G13*100</f>
        <v>#DIV/0!</v>
      </c>
    </row>
    <row r="14" spans="1:15" x14ac:dyDescent="0.25">
      <c r="A14" s="10">
        <v>11</v>
      </c>
      <c r="B14" s="173" t="s">
        <v>108</v>
      </c>
      <c r="C14" s="173"/>
      <c r="D14" s="173"/>
      <c r="E14" s="270"/>
      <c r="F14" s="271"/>
      <c r="G14" s="270"/>
      <c r="H14" s="271"/>
      <c r="I14" s="270"/>
      <c r="J14" s="271"/>
      <c r="K14" s="30" t="e">
        <f t="shared" si="2"/>
        <v>#DIV/0!</v>
      </c>
      <c r="L14" s="30" t="e">
        <f t="shared" ref="L14:L21" si="3">I14/G14*100</f>
        <v>#DIV/0!</v>
      </c>
    </row>
    <row r="15" spans="1:15" x14ac:dyDescent="0.25">
      <c r="A15" s="10">
        <v>12</v>
      </c>
      <c r="B15" s="173" t="s">
        <v>109</v>
      </c>
      <c r="C15" s="173"/>
      <c r="D15" s="173"/>
      <c r="E15" s="270"/>
      <c r="F15" s="271"/>
      <c r="G15" s="270"/>
      <c r="H15" s="271"/>
      <c r="I15" s="270"/>
      <c r="J15" s="271"/>
      <c r="K15" s="30" t="e">
        <f t="shared" si="2"/>
        <v>#DIV/0!</v>
      </c>
      <c r="L15" s="30" t="e">
        <f t="shared" si="3"/>
        <v>#DIV/0!</v>
      </c>
    </row>
    <row r="16" spans="1:15" x14ac:dyDescent="0.25">
      <c r="A16" s="15">
        <v>3</v>
      </c>
      <c r="B16" s="5" t="s">
        <v>153</v>
      </c>
      <c r="C16" s="5"/>
      <c r="D16" s="5"/>
      <c r="E16" s="440">
        <f t="shared" ref="E16" si="4">E17</f>
        <v>0</v>
      </c>
      <c r="F16" s="441"/>
      <c r="G16" s="440">
        <f t="shared" ref="G16" si="5">G17</f>
        <v>0</v>
      </c>
      <c r="H16" s="441"/>
      <c r="I16" s="440">
        <f t="shared" ref="I16" si="6">I17</f>
        <v>0</v>
      </c>
      <c r="J16" s="441"/>
      <c r="K16" s="30" t="e">
        <f t="shared" si="2"/>
        <v>#DIV/0!</v>
      </c>
      <c r="L16" s="30" t="e">
        <f t="shared" si="3"/>
        <v>#DIV/0!</v>
      </c>
    </row>
    <row r="17" spans="1:12" x14ac:dyDescent="0.25">
      <c r="A17" s="10">
        <v>31</v>
      </c>
      <c r="B17" s="173" t="s">
        <v>110</v>
      </c>
      <c r="C17" s="173"/>
      <c r="D17" s="173"/>
      <c r="E17" s="270"/>
      <c r="F17" s="271"/>
      <c r="G17" s="270"/>
      <c r="H17" s="271"/>
      <c r="I17" s="270"/>
      <c r="J17" s="271"/>
      <c r="K17" s="31" t="e">
        <f t="shared" si="2"/>
        <v>#DIV/0!</v>
      </c>
      <c r="L17" s="31" t="e">
        <f t="shared" si="3"/>
        <v>#DIV/0!</v>
      </c>
    </row>
    <row r="18" spans="1:12" x14ac:dyDescent="0.25">
      <c r="A18" s="15">
        <v>4</v>
      </c>
      <c r="B18" s="5" t="s">
        <v>106</v>
      </c>
      <c r="C18" s="5"/>
      <c r="D18" s="5"/>
      <c r="E18" s="440">
        <f>E19+E20</f>
        <v>0</v>
      </c>
      <c r="F18" s="441"/>
      <c r="G18" s="440">
        <f t="shared" ref="G18" si="7">G19+G20</f>
        <v>0</v>
      </c>
      <c r="H18" s="441"/>
      <c r="I18" s="440">
        <f t="shared" ref="I18" si="8">I19+I20</f>
        <v>0</v>
      </c>
      <c r="J18" s="441"/>
      <c r="K18" s="30" t="e">
        <f t="shared" si="2"/>
        <v>#DIV/0!</v>
      </c>
      <c r="L18" s="30" t="e">
        <f t="shared" si="3"/>
        <v>#DIV/0!</v>
      </c>
    </row>
    <row r="19" spans="1:12" x14ac:dyDescent="0.25">
      <c r="A19" s="10">
        <v>41</v>
      </c>
      <c r="B19" s="173" t="s">
        <v>106</v>
      </c>
      <c r="C19" s="173"/>
      <c r="D19" s="173"/>
      <c r="E19" s="270"/>
      <c r="F19" s="271"/>
      <c r="G19" s="270"/>
      <c r="H19" s="271"/>
      <c r="I19" s="270"/>
      <c r="J19" s="271"/>
      <c r="K19" s="31" t="e">
        <f t="shared" si="2"/>
        <v>#DIV/0!</v>
      </c>
      <c r="L19" s="31" t="e">
        <f t="shared" si="3"/>
        <v>#DIV/0!</v>
      </c>
    </row>
    <row r="20" spans="1:12" ht="15.75" thickBot="1" x14ac:dyDescent="0.3">
      <c r="A20" s="204" t="s">
        <v>260</v>
      </c>
      <c r="B20" s="173"/>
      <c r="C20" s="173"/>
      <c r="D20" s="173"/>
      <c r="E20" s="270"/>
      <c r="F20" s="271"/>
      <c r="G20" s="270"/>
      <c r="H20" s="271"/>
      <c r="I20" s="270"/>
      <c r="J20" s="271"/>
      <c r="K20" s="31"/>
      <c r="L20" s="31"/>
    </row>
    <row r="21" spans="1:12" ht="15.75" thickBot="1" x14ac:dyDescent="0.3">
      <c r="A21" s="458" t="s">
        <v>107</v>
      </c>
      <c r="B21" s="458"/>
      <c r="C21" s="458"/>
      <c r="D21" s="458"/>
      <c r="E21" s="471">
        <f>SUM(E13+E16+E18)</f>
        <v>0</v>
      </c>
      <c r="F21" s="470"/>
      <c r="G21" s="471">
        <f t="shared" ref="G21" si="9">SUM(G13+G16+G18)</f>
        <v>0</v>
      </c>
      <c r="H21" s="470"/>
      <c r="I21" s="471">
        <f t="shared" ref="I21" si="10">SUM(I13+I16+I18)</f>
        <v>0</v>
      </c>
      <c r="J21" s="470"/>
      <c r="K21" s="36" t="e">
        <f>I21/E21*100</f>
        <v>#DIV/0!</v>
      </c>
      <c r="L21" s="36" t="e">
        <f t="shared" si="3"/>
        <v>#DIV/0!</v>
      </c>
    </row>
    <row r="22" spans="1:12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ht="15.75" thickBot="1" x14ac:dyDescent="0.3">
      <c r="A23" s="63" t="s">
        <v>261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5" customHeight="1" x14ac:dyDescent="0.25">
      <c r="A24" s="446" t="s">
        <v>136</v>
      </c>
      <c r="B24" s="447"/>
      <c r="C24" s="447"/>
      <c r="D24" s="447"/>
      <c r="E24" s="265" t="s">
        <v>186</v>
      </c>
      <c r="F24" s="266"/>
      <c r="G24" s="265" t="s">
        <v>267</v>
      </c>
      <c r="H24" s="266"/>
      <c r="I24" s="449" t="s">
        <v>225</v>
      </c>
      <c r="J24" s="449"/>
      <c r="K24" s="17" t="s">
        <v>38</v>
      </c>
      <c r="L24" s="17" t="s">
        <v>38</v>
      </c>
    </row>
    <row r="25" spans="1:12" x14ac:dyDescent="0.25">
      <c r="A25" s="23" t="s">
        <v>117</v>
      </c>
      <c r="B25" s="448" t="s">
        <v>118</v>
      </c>
      <c r="C25" s="448"/>
      <c r="D25" s="448"/>
      <c r="E25" s="267"/>
      <c r="F25" s="268"/>
      <c r="G25" s="267"/>
      <c r="H25" s="268"/>
      <c r="I25" s="450"/>
      <c r="J25" s="450"/>
      <c r="K25" s="223" t="s">
        <v>265</v>
      </c>
      <c r="L25" s="224" t="s">
        <v>264</v>
      </c>
    </row>
    <row r="26" spans="1:12" ht="15.75" thickBot="1" x14ac:dyDescent="0.3">
      <c r="A26" s="384">
        <v>1</v>
      </c>
      <c r="B26" s="385"/>
      <c r="C26" s="385"/>
      <c r="D26" s="385"/>
      <c r="E26" s="384">
        <v>2</v>
      </c>
      <c r="F26" s="385"/>
      <c r="G26" s="384">
        <v>3</v>
      </c>
      <c r="H26" s="385"/>
      <c r="I26" s="445">
        <v>4</v>
      </c>
      <c r="J26" s="445"/>
      <c r="K26" s="18">
        <v>5</v>
      </c>
      <c r="L26" s="18">
        <v>6</v>
      </c>
    </row>
    <row r="27" spans="1:12" x14ac:dyDescent="0.25">
      <c r="A27" s="54">
        <v>1</v>
      </c>
      <c r="B27" s="203" t="s">
        <v>108</v>
      </c>
      <c r="C27" s="203"/>
      <c r="D27" s="203"/>
      <c r="E27" s="519">
        <f>E28+E29</f>
        <v>0</v>
      </c>
      <c r="F27" s="520"/>
      <c r="G27" s="519">
        <f t="shared" ref="G27" si="11">G28+G29</f>
        <v>0</v>
      </c>
      <c r="H27" s="520"/>
      <c r="I27" s="519">
        <f t="shared" ref="I27" si="12">I28+I29</f>
        <v>0</v>
      </c>
      <c r="J27" s="520"/>
      <c r="K27" s="55" t="e">
        <f t="shared" ref="K27:K33" si="13">I27/E27*100</f>
        <v>#DIV/0!</v>
      </c>
      <c r="L27" s="55" t="e">
        <f>I27/G27*100</f>
        <v>#DIV/0!</v>
      </c>
    </row>
    <row r="28" spans="1:12" x14ac:dyDescent="0.25">
      <c r="A28" s="10">
        <v>11</v>
      </c>
      <c r="B28" s="173" t="s">
        <v>108</v>
      </c>
      <c r="C28" s="173"/>
      <c r="D28" s="173"/>
      <c r="E28" s="270"/>
      <c r="F28" s="271"/>
      <c r="G28" s="270"/>
      <c r="H28" s="271"/>
      <c r="I28" s="270"/>
      <c r="J28" s="271"/>
      <c r="K28" s="51" t="e">
        <f t="shared" si="13"/>
        <v>#DIV/0!</v>
      </c>
      <c r="L28" s="51" t="e">
        <f>I28/G28*100</f>
        <v>#DIV/0!</v>
      </c>
    </row>
    <row r="29" spans="1:12" x14ac:dyDescent="0.25">
      <c r="A29" s="10">
        <v>12</v>
      </c>
      <c r="B29" s="173" t="s">
        <v>109</v>
      </c>
      <c r="C29" s="173"/>
      <c r="D29" s="173"/>
      <c r="E29" s="270"/>
      <c r="F29" s="271"/>
      <c r="G29" s="270"/>
      <c r="H29" s="271"/>
      <c r="I29" s="270"/>
      <c r="J29" s="271"/>
      <c r="K29" s="31" t="e">
        <f t="shared" si="13"/>
        <v>#DIV/0!</v>
      </c>
      <c r="L29" s="31" t="e">
        <f>I29/G29*100</f>
        <v>#DIV/0!</v>
      </c>
    </row>
    <row r="30" spans="1:12" x14ac:dyDescent="0.25">
      <c r="A30" s="15">
        <v>3</v>
      </c>
      <c r="B30" s="5" t="s">
        <v>153</v>
      </c>
      <c r="C30" s="5"/>
      <c r="D30" s="5"/>
      <c r="E30" s="440">
        <f t="shared" ref="E30" si="14">E31</f>
        <v>0</v>
      </c>
      <c r="F30" s="441"/>
      <c r="G30" s="440">
        <f t="shared" ref="G30" si="15">G31</f>
        <v>0</v>
      </c>
      <c r="H30" s="441"/>
      <c r="I30" s="440">
        <f t="shared" ref="I30" si="16">I31</f>
        <v>0</v>
      </c>
      <c r="J30" s="441"/>
      <c r="K30" s="31" t="e">
        <f t="shared" si="13"/>
        <v>#DIV/0!</v>
      </c>
      <c r="L30" s="31" t="e">
        <f t="shared" ref="L30:L35" si="17">I30/G30*100</f>
        <v>#DIV/0!</v>
      </c>
    </row>
    <row r="31" spans="1:12" x14ac:dyDescent="0.25">
      <c r="A31" s="10">
        <v>31</v>
      </c>
      <c r="B31" s="173" t="s">
        <v>110</v>
      </c>
      <c r="C31" s="173"/>
      <c r="D31" s="173"/>
      <c r="E31" s="270"/>
      <c r="F31" s="271"/>
      <c r="G31" s="270"/>
      <c r="H31" s="271"/>
      <c r="I31" s="270"/>
      <c r="J31" s="271"/>
      <c r="K31" s="30" t="e">
        <f t="shared" si="13"/>
        <v>#DIV/0!</v>
      </c>
      <c r="L31" s="30" t="e">
        <f t="shared" si="17"/>
        <v>#DIV/0!</v>
      </c>
    </row>
    <row r="32" spans="1:12" x14ac:dyDescent="0.25">
      <c r="A32" s="15">
        <v>4</v>
      </c>
      <c r="B32" s="5" t="s">
        <v>106</v>
      </c>
      <c r="C32" s="5"/>
      <c r="D32" s="5"/>
      <c r="E32" s="440">
        <f>E33+E34</f>
        <v>0</v>
      </c>
      <c r="F32" s="441"/>
      <c r="G32" s="440">
        <f t="shared" ref="G32" si="18">G33+G34</f>
        <v>0</v>
      </c>
      <c r="H32" s="441"/>
      <c r="I32" s="440">
        <f t="shared" ref="I32" si="19">I33+I34</f>
        <v>0</v>
      </c>
      <c r="J32" s="441"/>
      <c r="K32" s="31" t="e">
        <f t="shared" si="13"/>
        <v>#DIV/0!</v>
      </c>
      <c r="L32" s="31" t="e">
        <f>I32/G32*100</f>
        <v>#DIV/0!</v>
      </c>
    </row>
    <row r="33" spans="1:12" x14ac:dyDescent="0.25">
      <c r="A33" s="10">
        <v>41</v>
      </c>
      <c r="B33" s="173" t="s">
        <v>106</v>
      </c>
      <c r="C33" s="173"/>
      <c r="D33" s="173"/>
      <c r="E33" s="270"/>
      <c r="F33" s="271"/>
      <c r="G33" s="270"/>
      <c r="H33" s="271"/>
      <c r="I33" s="270"/>
      <c r="J33" s="271"/>
      <c r="K33" s="30" t="e">
        <f t="shared" si="13"/>
        <v>#DIV/0!</v>
      </c>
      <c r="L33" s="30" t="e">
        <f t="shared" si="17"/>
        <v>#DIV/0!</v>
      </c>
    </row>
    <row r="34" spans="1:12" ht="15.75" thickBot="1" x14ac:dyDescent="0.3">
      <c r="A34" s="204" t="s">
        <v>260</v>
      </c>
      <c r="B34" s="173"/>
      <c r="C34" s="173"/>
      <c r="D34" s="173"/>
      <c r="E34" s="270"/>
      <c r="F34" s="271"/>
      <c r="G34" s="270"/>
      <c r="H34" s="271"/>
      <c r="I34" s="270"/>
      <c r="J34" s="271"/>
      <c r="K34" s="31"/>
      <c r="L34" s="31"/>
    </row>
    <row r="35" spans="1:12" ht="15.75" thickBot="1" x14ac:dyDescent="0.3">
      <c r="A35" s="458" t="s">
        <v>107</v>
      </c>
      <c r="B35" s="458"/>
      <c r="C35" s="458"/>
      <c r="D35" s="458"/>
      <c r="E35" s="471">
        <f>SUM(E27+E30+E32)</f>
        <v>0</v>
      </c>
      <c r="F35" s="470"/>
      <c r="G35" s="471">
        <f t="shared" ref="G35" si="20">SUM(G27+G30+G32)</f>
        <v>0</v>
      </c>
      <c r="H35" s="470"/>
      <c r="I35" s="471">
        <f t="shared" ref="I35" si="21">SUM(I27+I30+I32)</f>
        <v>0</v>
      </c>
      <c r="J35" s="470"/>
      <c r="K35" s="36" t="e">
        <f>I35/E35*100</f>
        <v>#DIV/0!</v>
      </c>
      <c r="L35" s="36" t="e">
        <f t="shared" si="17"/>
        <v>#DIV/0!</v>
      </c>
    </row>
  </sheetData>
  <mergeCells count="77">
    <mergeCell ref="I33:J33"/>
    <mergeCell ref="E30:F30"/>
    <mergeCell ref="G30:H30"/>
    <mergeCell ref="E28:F28"/>
    <mergeCell ref="G28:H28"/>
    <mergeCell ref="I28:J28"/>
    <mergeCell ref="E29:F29"/>
    <mergeCell ref="G29:H29"/>
    <mergeCell ref="I29:J29"/>
    <mergeCell ref="A35:D35"/>
    <mergeCell ref="E35:F35"/>
    <mergeCell ref="G35:H35"/>
    <mergeCell ref="I35:J35"/>
    <mergeCell ref="I30:J30"/>
    <mergeCell ref="E31:F31"/>
    <mergeCell ref="G31:H31"/>
    <mergeCell ref="I31:J31"/>
    <mergeCell ref="E34:F34"/>
    <mergeCell ref="G34:H34"/>
    <mergeCell ref="I34:J34"/>
    <mergeCell ref="E32:F32"/>
    <mergeCell ref="G32:H32"/>
    <mergeCell ref="I32:J32"/>
    <mergeCell ref="E33:F33"/>
    <mergeCell ref="G33:H33"/>
    <mergeCell ref="E27:F27"/>
    <mergeCell ref="G27:H27"/>
    <mergeCell ref="I27:J27"/>
    <mergeCell ref="A26:D26"/>
    <mergeCell ref="E26:F26"/>
    <mergeCell ref="G26:H26"/>
    <mergeCell ref="I26:J26"/>
    <mergeCell ref="A24:D24"/>
    <mergeCell ref="E24:F25"/>
    <mergeCell ref="G24:H25"/>
    <mergeCell ref="I24:J25"/>
    <mergeCell ref="B25:D25"/>
    <mergeCell ref="E20:F20"/>
    <mergeCell ref="G20:H20"/>
    <mergeCell ref="I20:J20"/>
    <mergeCell ref="A21:D21"/>
    <mergeCell ref="E21:F21"/>
    <mergeCell ref="G21:H21"/>
    <mergeCell ref="I21:J21"/>
    <mergeCell ref="E18:F18"/>
    <mergeCell ref="G18:H18"/>
    <mergeCell ref="I18:J18"/>
    <mergeCell ref="E19:F19"/>
    <mergeCell ref="G19:H19"/>
    <mergeCell ref="I19:J19"/>
    <mergeCell ref="E16:F16"/>
    <mergeCell ref="G16:H16"/>
    <mergeCell ref="I16:J16"/>
    <mergeCell ref="E17:F17"/>
    <mergeCell ref="G17:H17"/>
    <mergeCell ref="I17:J17"/>
    <mergeCell ref="E15:F15"/>
    <mergeCell ref="G15:H15"/>
    <mergeCell ref="I15:J15"/>
    <mergeCell ref="E14:F14"/>
    <mergeCell ref="G14:H14"/>
    <mergeCell ref="I14:J14"/>
    <mergeCell ref="A5:L5"/>
    <mergeCell ref="E13:F13"/>
    <mergeCell ref="G13:H13"/>
    <mergeCell ref="I13:J13"/>
    <mergeCell ref="A7:L7"/>
    <mergeCell ref="A10:D10"/>
    <mergeCell ref="E10:F11"/>
    <mergeCell ref="G10:H11"/>
    <mergeCell ref="I10:J11"/>
    <mergeCell ref="B11:D11"/>
    <mergeCell ref="A12:D12"/>
    <mergeCell ref="E12:F12"/>
    <mergeCell ref="A6:L6"/>
    <mergeCell ref="G12:H12"/>
    <mergeCell ref="I12:J12"/>
  </mergeCells>
  <pageMargins left="0.7" right="0.7" top="0.75" bottom="0.75" header="0.3" footer="0.3"/>
  <pageSetup paperSize="9" scale="79" orientation="portrait" verticalDpi="0" r:id="rId1"/>
  <ignoredErrors>
    <ignoredError sqref="K13:L23 K27:L35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2"/>
  <sheetViews>
    <sheetView zoomScale="110" zoomScaleNormal="110" workbookViewId="0"/>
  </sheetViews>
  <sheetFormatPr defaultRowHeight="15" x14ac:dyDescent="0.25"/>
  <cols>
    <col min="1" max="6" width="9.7109375" customWidth="1"/>
    <col min="7" max="12" width="8.85546875" customWidth="1"/>
    <col min="13" max="13" width="10.85546875" bestFit="1" customWidth="1"/>
  </cols>
  <sheetData>
    <row r="1" spans="1:11" x14ac:dyDescent="0.25">
      <c r="A1" s="63" t="s">
        <v>195</v>
      </c>
    </row>
    <row r="2" spans="1:11" x14ac:dyDescent="0.25">
      <c r="A2" s="62" t="s">
        <v>12</v>
      </c>
    </row>
    <row r="3" spans="1:11" x14ac:dyDescent="0.25">
      <c r="A3" s="62" t="s">
        <v>196</v>
      </c>
    </row>
    <row r="5" spans="1:11" x14ac:dyDescent="0.25">
      <c r="A5" s="255" t="s">
        <v>150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</row>
    <row r="7" spans="1:11" ht="15" customHeight="1" x14ac:dyDescent="0.25">
      <c r="A7" s="567" t="s">
        <v>151</v>
      </c>
      <c r="B7" s="567"/>
      <c r="C7" s="567"/>
      <c r="D7" s="567"/>
      <c r="E7" s="567"/>
      <c r="F7" s="567"/>
      <c r="G7" s="567"/>
      <c r="H7" s="567"/>
      <c r="I7" s="567"/>
      <c r="J7" s="567"/>
      <c r="K7" s="567"/>
    </row>
    <row r="8" spans="1:11" s="62" customFormat="1" ht="15" customHeight="1" x14ac:dyDescent="0.25">
      <c r="A8" s="567"/>
      <c r="B8" s="567"/>
      <c r="C8" s="567"/>
      <c r="D8" s="567"/>
      <c r="E8" s="567"/>
      <c r="F8" s="567"/>
      <c r="G8" s="567"/>
      <c r="H8" s="567"/>
      <c r="I8" s="567"/>
      <c r="J8" s="567"/>
      <c r="K8" s="567"/>
    </row>
    <row r="9" spans="1:11" ht="15.75" thickBot="1" x14ac:dyDescent="0.3"/>
    <row r="10" spans="1:11" ht="15" customHeight="1" x14ac:dyDescent="0.25">
      <c r="A10" s="483" t="s">
        <v>136</v>
      </c>
      <c r="B10" s="484"/>
      <c r="C10" s="484"/>
      <c r="D10" s="484"/>
      <c r="E10" s="484"/>
      <c r="F10" s="484"/>
      <c r="G10" s="265" t="s">
        <v>267</v>
      </c>
      <c r="H10" s="266"/>
      <c r="I10" s="277" t="s">
        <v>225</v>
      </c>
      <c r="J10" s="277"/>
      <c r="K10" s="17" t="s">
        <v>38</v>
      </c>
    </row>
    <row r="11" spans="1:11" x14ac:dyDescent="0.25">
      <c r="A11" s="486"/>
      <c r="B11" s="487"/>
      <c r="C11" s="487"/>
      <c r="D11" s="487"/>
      <c r="E11" s="487"/>
      <c r="F11" s="487"/>
      <c r="G11" s="267"/>
      <c r="H11" s="268"/>
      <c r="I11" s="278"/>
      <c r="J11" s="278"/>
      <c r="K11" s="224" t="s">
        <v>266</v>
      </c>
    </row>
    <row r="12" spans="1:11" ht="15.75" thickBot="1" x14ac:dyDescent="0.3">
      <c r="A12" s="384">
        <v>1</v>
      </c>
      <c r="B12" s="385"/>
      <c r="C12" s="385"/>
      <c r="D12" s="385"/>
      <c r="E12" s="385"/>
      <c r="F12" s="391"/>
      <c r="G12" s="384">
        <v>2</v>
      </c>
      <c r="H12" s="385"/>
      <c r="I12" s="384">
        <v>3</v>
      </c>
      <c r="J12" s="385"/>
      <c r="K12" s="18">
        <v>4</v>
      </c>
    </row>
    <row r="13" spans="1:11" ht="15.75" thickBot="1" x14ac:dyDescent="0.3">
      <c r="A13" s="56">
        <v>18848</v>
      </c>
      <c r="B13" s="52" t="s">
        <v>217</v>
      </c>
      <c r="C13" s="52"/>
      <c r="D13" s="52"/>
      <c r="E13" s="52"/>
      <c r="F13" s="52"/>
      <c r="G13" s="52"/>
      <c r="H13" s="52"/>
      <c r="I13" s="52"/>
      <c r="J13" s="52"/>
      <c r="K13" s="53"/>
    </row>
    <row r="14" spans="1:11" x14ac:dyDescent="0.25">
      <c r="A14" s="9"/>
      <c r="B14" s="561" t="s">
        <v>159</v>
      </c>
      <c r="C14" s="561"/>
      <c r="D14" s="561"/>
      <c r="E14" s="561"/>
      <c r="F14" s="562"/>
      <c r="G14" s="559">
        <f>SUM(G15:H20)</f>
        <v>2566721.29</v>
      </c>
      <c r="H14" s="560"/>
      <c r="I14" s="559">
        <f t="shared" ref="I14" si="0">SUM(I15:J20)</f>
        <v>2746096.01</v>
      </c>
      <c r="J14" s="560"/>
      <c r="K14" s="168">
        <f>I14/G14*100</f>
        <v>106.98847672705436</v>
      </c>
    </row>
    <row r="15" spans="1:11" x14ac:dyDescent="0.25">
      <c r="A15" s="12">
        <v>1</v>
      </c>
      <c r="B15" s="7" t="s">
        <v>108</v>
      </c>
      <c r="C15" s="7"/>
      <c r="D15" s="7"/>
      <c r="E15" s="7"/>
      <c r="F15" s="13"/>
      <c r="G15" s="563">
        <f>34496.12+21768.78</f>
        <v>56264.9</v>
      </c>
      <c r="H15" s="564"/>
      <c r="I15" s="563">
        <f>I52+I64+I119+I127+I132+I135+I148+I150+I151+I153+I154+I156</f>
        <v>57588.05</v>
      </c>
      <c r="J15" s="564"/>
      <c r="K15" s="169">
        <f>I15/G15*100</f>
        <v>102.35164374236869</v>
      </c>
    </row>
    <row r="16" spans="1:11" x14ac:dyDescent="0.25">
      <c r="A16" s="12">
        <v>3</v>
      </c>
      <c r="B16" s="7" t="s">
        <v>160</v>
      </c>
      <c r="C16" s="7"/>
      <c r="D16" s="7"/>
      <c r="E16" s="7"/>
      <c r="F16" s="13"/>
      <c r="G16" s="563">
        <v>1020</v>
      </c>
      <c r="H16" s="564"/>
      <c r="I16" s="563">
        <f>I69+I80</f>
        <v>3918.54</v>
      </c>
      <c r="J16" s="564"/>
      <c r="K16" s="169">
        <f>I16/G16*100</f>
        <v>384.17058823529413</v>
      </c>
    </row>
    <row r="17" spans="1:13" x14ac:dyDescent="0.25">
      <c r="A17" s="12">
        <v>4</v>
      </c>
      <c r="B17" s="7" t="s">
        <v>161</v>
      </c>
      <c r="C17" s="7"/>
      <c r="D17" s="7"/>
      <c r="E17" s="7"/>
      <c r="F17" s="13"/>
      <c r="G17" s="563">
        <f>20+54932.64+159399.75</f>
        <v>214352.39</v>
      </c>
      <c r="H17" s="564"/>
      <c r="I17" s="563">
        <f>I23+I49+I74+I83+I101+I170</f>
        <v>222210.90999999997</v>
      </c>
      <c r="J17" s="564"/>
      <c r="K17" s="169">
        <f t="shared" ref="K17:K20" si="1">I17/G17*100</f>
        <v>103.66616859275513</v>
      </c>
    </row>
    <row r="18" spans="1:13" x14ac:dyDescent="0.25">
      <c r="A18" s="12">
        <v>5</v>
      </c>
      <c r="B18" s="7" t="s">
        <v>154</v>
      </c>
      <c r="C18" s="7"/>
      <c r="D18" s="7"/>
      <c r="E18" s="7"/>
      <c r="F18" s="13"/>
      <c r="G18" s="563">
        <f>2081446.1+208617.9</f>
        <v>2290064</v>
      </c>
      <c r="H18" s="564"/>
      <c r="I18" s="565">
        <f>I55+I87+I98+I138+I149+I152+I157+I161+I167+I176</f>
        <v>2458048.5099999998</v>
      </c>
      <c r="J18" s="566"/>
      <c r="K18" s="169">
        <f t="shared" si="1"/>
        <v>107.3353631164893</v>
      </c>
    </row>
    <row r="19" spans="1:13" s="62" customFormat="1" x14ac:dyDescent="0.25">
      <c r="A19" s="12">
        <v>6</v>
      </c>
      <c r="B19" s="7" t="s">
        <v>26</v>
      </c>
      <c r="C19" s="7"/>
      <c r="D19" s="7"/>
      <c r="E19" s="7"/>
      <c r="F19" s="13"/>
      <c r="G19" s="563">
        <v>5010</v>
      </c>
      <c r="H19" s="564"/>
      <c r="I19" s="565">
        <f>I112</f>
        <v>4330</v>
      </c>
      <c r="J19" s="566"/>
      <c r="K19" s="169">
        <f t="shared" si="1"/>
        <v>86.427145708582827</v>
      </c>
    </row>
    <row r="20" spans="1:13" s="62" customFormat="1" ht="15.75" thickBot="1" x14ac:dyDescent="0.3">
      <c r="A20" s="12">
        <v>7</v>
      </c>
      <c r="B20" s="7" t="s">
        <v>206</v>
      </c>
      <c r="C20" s="7"/>
      <c r="D20" s="7"/>
      <c r="E20" s="7"/>
      <c r="F20" s="13"/>
      <c r="G20" s="563">
        <v>10</v>
      </c>
      <c r="H20" s="564"/>
      <c r="I20" s="565">
        <f>I116</f>
        <v>0</v>
      </c>
      <c r="J20" s="566"/>
      <c r="K20" s="169">
        <f t="shared" si="1"/>
        <v>0</v>
      </c>
    </row>
    <row r="21" spans="1:13" x14ac:dyDescent="0.25">
      <c r="A21" s="552" t="s">
        <v>13</v>
      </c>
      <c r="B21" s="553"/>
      <c r="C21" s="553"/>
      <c r="D21" s="553"/>
      <c r="E21" s="553"/>
      <c r="F21" s="554"/>
      <c r="G21" s="556">
        <f>G22+G63+G142+G165</f>
        <v>2566721.29</v>
      </c>
      <c r="H21" s="556"/>
      <c r="I21" s="556">
        <f>I22+I63+I142+I165</f>
        <v>2746096.0100000002</v>
      </c>
      <c r="J21" s="556"/>
      <c r="K21" s="32">
        <f t="shared" ref="K21:K22" si="2">I21/G21*100</f>
        <v>106.98847672705438</v>
      </c>
    </row>
    <row r="22" spans="1:13" x14ac:dyDescent="0.25">
      <c r="A22" s="549" t="s">
        <v>92</v>
      </c>
      <c r="B22" s="550"/>
      <c r="C22" s="550"/>
      <c r="D22" s="550"/>
      <c r="E22" s="550"/>
      <c r="F22" s="551"/>
      <c r="G22" s="557">
        <f>G55+G23+G48</f>
        <v>2232227.37</v>
      </c>
      <c r="H22" s="558"/>
      <c r="I22" s="557">
        <f>I55+I23+I48</f>
        <v>2493114.85</v>
      </c>
      <c r="J22" s="558"/>
      <c r="K22" s="33">
        <f t="shared" si="2"/>
        <v>111.68731660162379</v>
      </c>
    </row>
    <row r="23" spans="1:13" x14ac:dyDescent="0.25">
      <c r="A23" s="529" t="s">
        <v>14</v>
      </c>
      <c r="B23" s="530"/>
      <c r="C23" s="530"/>
      <c r="D23" s="530"/>
      <c r="E23" s="530"/>
      <c r="F23" s="555"/>
      <c r="G23" s="546">
        <f t="shared" ref="G23" si="3">G25</f>
        <v>156647</v>
      </c>
      <c r="H23" s="547"/>
      <c r="I23" s="546">
        <f t="shared" ref="I23" si="4">I25</f>
        <v>164801.26999999999</v>
      </c>
      <c r="J23" s="547"/>
      <c r="K23" s="573">
        <f>I23/G23*100</f>
        <v>105.20550664870696</v>
      </c>
    </row>
    <row r="24" spans="1:13" x14ac:dyDescent="0.25">
      <c r="A24" s="529" t="s">
        <v>15</v>
      </c>
      <c r="B24" s="530"/>
      <c r="C24" s="530"/>
      <c r="D24" s="530"/>
      <c r="E24" s="530"/>
      <c r="F24" s="555"/>
      <c r="G24" s="537"/>
      <c r="H24" s="538"/>
      <c r="I24" s="537"/>
      <c r="J24" s="538"/>
      <c r="K24" s="573"/>
    </row>
    <row r="25" spans="1:13" x14ac:dyDescent="0.25">
      <c r="A25" s="24">
        <v>32</v>
      </c>
      <c r="B25" s="25" t="s">
        <v>48</v>
      </c>
      <c r="C25" s="25"/>
      <c r="D25" s="25"/>
      <c r="E25" s="25"/>
      <c r="F25" s="26"/>
      <c r="G25" s="542">
        <v>156647</v>
      </c>
      <c r="H25" s="543"/>
      <c r="I25" s="542">
        <f t="shared" ref="I25" si="5">SUM(I26:J47)</f>
        <v>164801.26999999999</v>
      </c>
      <c r="J25" s="543"/>
      <c r="K25" s="72">
        <f>I25/G25*100</f>
        <v>105.20550664870696</v>
      </c>
    </row>
    <row r="26" spans="1:13" x14ac:dyDescent="0.25">
      <c r="A26" s="10">
        <v>3211</v>
      </c>
      <c r="B26" s="4" t="s">
        <v>50</v>
      </c>
      <c r="C26" s="4"/>
      <c r="D26" s="4"/>
      <c r="E26" s="4"/>
      <c r="F26" s="11"/>
      <c r="G26" s="270"/>
      <c r="H26" s="271"/>
      <c r="I26" s="270">
        <v>10586.8</v>
      </c>
      <c r="J26" s="271"/>
      <c r="K26" s="164"/>
      <c r="M26" s="22"/>
    </row>
    <row r="27" spans="1:13" x14ac:dyDescent="0.25">
      <c r="A27" s="10">
        <v>3212</v>
      </c>
      <c r="B27" s="4" t="s">
        <v>85</v>
      </c>
      <c r="C27" s="4"/>
      <c r="D27" s="4"/>
      <c r="E27" s="4"/>
      <c r="F27" s="11"/>
      <c r="G27" s="270"/>
      <c r="H27" s="271"/>
      <c r="I27" s="270">
        <f>33216.78+3264.83</f>
        <v>36481.61</v>
      </c>
      <c r="J27" s="271"/>
      <c r="K27" s="164"/>
    </row>
    <row r="28" spans="1:13" x14ac:dyDescent="0.25">
      <c r="A28" s="10">
        <v>3213</v>
      </c>
      <c r="B28" s="4" t="s">
        <v>52</v>
      </c>
      <c r="C28" s="4"/>
      <c r="D28" s="4"/>
      <c r="E28" s="4"/>
      <c r="F28" s="11"/>
      <c r="G28" s="270"/>
      <c r="H28" s="271"/>
      <c r="I28" s="270">
        <f>570+50</f>
        <v>620</v>
      </c>
      <c r="J28" s="271"/>
      <c r="K28" s="164"/>
    </row>
    <row r="29" spans="1:13" x14ac:dyDescent="0.25">
      <c r="A29" s="10">
        <v>3214</v>
      </c>
      <c r="B29" s="4" t="s">
        <v>80</v>
      </c>
      <c r="C29" s="4"/>
      <c r="D29" s="4"/>
      <c r="E29" s="4"/>
      <c r="F29" s="11"/>
      <c r="G29" s="270"/>
      <c r="H29" s="271"/>
      <c r="I29" s="270">
        <v>1427.73</v>
      </c>
      <c r="J29" s="271"/>
      <c r="K29" s="164"/>
    </row>
    <row r="30" spans="1:13" x14ac:dyDescent="0.25">
      <c r="A30" s="10">
        <v>3221</v>
      </c>
      <c r="B30" s="4" t="s">
        <v>54</v>
      </c>
      <c r="C30" s="4"/>
      <c r="D30" s="4"/>
      <c r="E30" s="4"/>
      <c r="F30" s="11"/>
      <c r="G30" s="270"/>
      <c r="H30" s="271"/>
      <c r="I30" s="270">
        <f>19921.14+36.5+34.84+472.39+33</f>
        <v>20497.87</v>
      </c>
      <c r="J30" s="271"/>
      <c r="K30" s="164"/>
    </row>
    <row r="31" spans="1:13" x14ac:dyDescent="0.25">
      <c r="A31" s="10">
        <v>3222</v>
      </c>
      <c r="B31" s="4" t="s">
        <v>86</v>
      </c>
      <c r="C31" s="4"/>
      <c r="D31" s="4"/>
      <c r="E31" s="4"/>
      <c r="F31" s="11"/>
      <c r="G31" s="270"/>
      <c r="H31" s="271"/>
      <c r="I31" s="270">
        <v>4291.1000000000004</v>
      </c>
      <c r="J31" s="271"/>
      <c r="K31" s="164"/>
    </row>
    <row r="32" spans="1:13" x14ac:dyDescent="0.25">
      <c r="A32" s="10">
        <v>3223</v>
      </c>
      <c r="B32" s="4" t="s">
        <v>55</v>
      </c>
      <c r="C32" s="4"/>
      <c r="D32" s="4"/>
      <c r="E32" s="4"/>
      <c r="F32" s="11"/>
      <c r="G32" s="270"/>
      <c r="H32" s="271"/>
      <c r="I32" s="270">
        <f>28810.67+2929.26</f>
        <v>31739.93</v>
      </c>
      <c r="J32" s="271"/>
      <c r="K32" s="164"/>
    </row>
    <row r="33" spans="1:11" x14ac:dyDescent="0.25">
      <c r="A33" s="10">
        <v>3224</v>
      </c>
      <c r="B33" s="4" t="s">
        <v>87</v>
      </c>
      <c r="C33" s="4"/>
      <c r="D33" s="4"/>
      <c r="E33" s="4"/>
      <c r="F33" s="11"/>
      <c r="G33" s="270"/>
      <c r="H33" s="271"/>
      <c r="I33" s="270">
        <v>3414.68</v>
      </c>
      <c r="J33" s="271"/>
      <c r="K33" s="164"/>
    </row>
    <row r="34" spans="1:11" x14ac:dyDescent="0.25">
      <c r="A34" s="10">
        <v>3225</v>
      </c>
      <c r="B34" s="4" t="s">
        <v>57</v>
      </c>
      <c r="C34" s="4"/>
      <c r="D34" s="4"/>
      <c r="E34" s="4"/>
      <c r="F34" s="11"/>
      <c r="G34" s="270"/>
      <c r="H34" s="271"/>
      <c r="I34" s="270">
        <v>1620.08</v>
      </c>
      <c r="J34" s="271"/>
      <c r="K34" s="164"/>
    </row>
    <row r="35" spans="1:11" x14ac:dyDescent="0.25">
      <c r="A35" s="10">
        <v>3227</v>
      </c>
      <c r="B35" s="4" t="s">
        <v>58</v>
      </c>
      <c r="C35" s="4"/>
      <c r="D35" s="4"/>
      <c r="E35" s="4"/>
      <c r="F35" s="11"/>
      <c r="G35" s="270"/>
      <c r="H35" s="271"/>
      <c r="I35" s="270">
        <v>926.7</v>
      </c>
      <c r="J35" s="271"/>
      <c r="K35" s="164"/>
    </row>
    <row r="36" spans="1:11" x14ac:dyDescent="0.25">
      <c r="A36" s="10">
        <v>3231</v>
      </c>
      <c r="B36" s="4" t="s">
        <v>60</v>
      </c>
      <c r="C36" s="4"/>
      <c r="D36" s="4"/>
      <c r="E36" s="4"/>
      <c r="F36" s="11"/>
      <c r="G36" s="270"/>
      <c r="H36" s="271"/>
      <c r="I36" s="270">
        <f>4855.38+153.69+76.41+74.72</f>
        <v>5160.2</v>
      </c>
      <c r="J36" s="271"/>
      <c r="K36" s="164"/>
    </row>
    <row r="37" spans="1:11" x14ac:dyDescent="0.25">
      <c r="A37" s="10">
        <v>3232</v>
      </c>
      <c r="B37" s="4" t="s">
        <v>61</v>
      </c>
      <c r="C37" s="4"/>
      <c r="D37" s="4"/>
      <c r="E37" s="4"/>
      <c r="F37" s="11"/>
      <c r="G37" s="270"/>
      <c r="H37" s="271"/>
      <c r="I37" s="270">
        <f>10654.58+56.25</f>
        <v>10710.83</v>
      </c>
      <c r="J37" s="271"/>
      <c r="K37" s="164"/>
    </row>
    <row r="38" spans="1:11" x14ac:dyDescent="0.25">
      <c r="A38" s="10">
        <v>3234</v>
      </c>
      <c r="B38" s="4" t="s">
        <v>82</v>
      </c>
      <c r="C38" s="4"/>
      <c r="D38" s="4"/>
      <c r="E38" s="4"/>
      <c r="F38" s="11"/>
      <c r="G38" s="270"/>
      <c r="H38" s="271"/>
      <c r="I38" s="270">
        <f>6049.22+56.25+205.77+201.25+17.59+99.55</f>
        <v>6629.630000000001</v>
      </c>
      <c r="J38" s="271"/>
      <c r="K38" s="164"/>
    </row>
    <row r="39" spans="1:11" x14ac:dyDescent="0.25">
      <c r="A39" s="10">
        <v>3235</v>
      </c>
      <c r="B39" s="4" t="s">
        <v>62</v>
      </c>
      <c r="C39" s="4"/>
      <c r="D39" s="4"/>
      <c r="E39" s="4"/>
      <c r="F39" s="11"/>
      <c r="G39" s="270"/>
      <c r="H39" s="271"/>
      <c r="I39" s="270">
        <f>3215.21+143.84</f>
        <v>3359.05</v>
      </c>
      <c r="J39" s="271"/>
      <c r="K39" s="164"/>
    </row>
    <row r="40" spans="1:11" x14ac:dyDescent="0.25">
      <c r="A40" s="10">
        <v>3236</v>
      </c>
      <c r="B40" s="4" t="s">
        <v>63</v>
      </c>
      <c r="C40" s="4"/>
      <c r="D40" s="4"/>
      <c r="E40" s="4"/>
      <c r="F40" s="11"/>
      <c r="G40" s="270"/>
      <c r="H40" s="271"/>
      <c r="I40" s="270">
        <v>4320</v>
      </c>
      <c r="J40" s="271"/>
      <c r="K40" s="164"/>
    </row>
    <row r="41" spans="1:11" x14ac:dyDescent="0.25">
      <c r="A41" s="10">
        <v>3237</v>
      </c>
      <c r="B41" s="4" t="s">
        <v>64</v>
      </c>
      <c r="C41" s="4"/>
      <c r="D41" s="4"/>
      <c r="E41" s="4"/>
      <c r="F41" s="11"/>
      <c r="G41" s="270"/>
      <c r="H41" s="271"/>
      <c r="I41" s="270">
        <v>5434.76</v>
      </c>
      <c r="J41" s="271"/>
      <c r="K41" s="164"/>
    </row>
    <row r="42" spans="1:11" x14ac:dyDescent="0.25">
      <c r="A42" s="10">
        <v>3238</v>
      </c>
      <c r="B42" s="4" t="s">
        <v>65</v>
      </c>
      <c r="C42" s="4"/>
      <c r="D42" s="4"/>
      <c r="E42" s="4"/>
      <c r="F42" s="11"/>
      <c r="G42" s="270"/>
      <c r="H42" s="271"/>
      <c r="I42" s="270">
        <f>5587.61+1.66</f>
        <v>5589.2699999999995</v>
      </c>
      <c r="J42" s="271"/>
      <c r="K42" s="164"/>
    </row>
    <row r="43" spans="1:11" x14ac:dyDescent="0.25">
      <c r="A43" s="10">
        <v>3239</v>
      </c>
      <c r="B43" s="4" t="s">
        <v>66</v>
      </c>
      <c r="C43" s="4"/>
      <c r="D43" s="4"/>
      <c r="E43" s="4"/>
      <c r="F43" s="11"/>
      <c r="G43" s="270"/>
      <c r="H43" s="271"/>
      <c r="I43" s="270">
        <f>2534.1+130.45</f>
        <v>2664.5499999999997</v>
      </c>
      <c r="J43" s="271"/>
      <c r="K43" s="164"/>
    </row>
    <row r="44" spans="1:11" x14ac:dyDescent="0.25">
      <c r="A44" s="10">
        <v>3292</v>
      </c>
      <c r="B44" s="4" t="s">
        <v>69</v>
      </c>
      <c r="C44" s="4"/>
      <c r="D44" s="4"/>
      <c r="E44" s="4"/>
      <c r="F44" s="11"/>
      <c r="G44" s="270"/>
      <c r="H44" s="271"/>
      <c r="I44" s="270">
        <v>381.5</v>
      </c>
      <c r="J44" s="271"/>
      <c r="K44" s="164"/>
    </row>
    <row r="45" spans="1:11" x14ac:dyDescent="0.25">
      <c r="A45" s="10">
        <v>3293</v>
      </c>
      <c r="B45" s="4" t="s">
        <v>70</v>
      </c>
      <c r="C45" s="4"/>
      <c r="D45" s="4"/>
      <c r="E45" s="4"/>
      <c r="F45" s="11"/>
      <c r="G45" s="270"/>
      <c r="H45" s="271"/>
      <c r="I45" s="270">
        <v>3852.63</v>
      </c>
      <c r="J45" s="271"/>
      <c r="K45" s="164"/>
    </row>
    <row r="46" spans="1:11" x14ac:dyDescent="0.25">
      <c r="A46" s="10">
        <v>3294</v>
      </c>
      <c r="B46" s="4" t="s">
        <v>71</v>
      </c>
      <c r="C46" s="4"/>
      <c r="D46" s="4"/>
      <c r="E46" s="4"/>
      <c r="F46" s="11"/>
      <c r="G46" s="270"/>
      <c r="H46" s="271"/>
      <c r="I46" s="270">
        <v>254.88</v>
      </c>
      <c r="J46" s="271"/>
      <c r="K46" s="164"/>
    </row>
    <row r="47" spans="1:11" x14ac:dyDescent="0.25">
      <c r="A47" s="10">
        <v>3299</v>
      </c>
      <c r="B47" s="4" t="s">
        <v>67</v>
      </c>
      <c r="C47" s="4"/>
      <c r="D47" s="4"/>
      <c r="E47" s="4"/>
      <c r="F47" s="11"/>
      <c r="G47" s="270"/>
      <c r="H47" s="271"/>
      <c r="I47" s="270">
        <f>4707.47+60+70</f>
        <v>4837.47</v>
      </c>
      <c r="J47" s="271"/>
      <c r="K47" s="164"/>
    </row>
    <row r="48" spans="1:11" s="62" customFormat="1" x14ac:dyDescent="0.25">
      <c r="A48" s="535" t="s">
        <v>238</v>
      </c>
      <c r="B48" s="536"/>
      <c r="C48" s="536"/>
      <c r="D48" s="536"/>
      <c r="E48" s="536"/>
      <c r="F48" s="574"/>
      <c r="G48" s="537">
        <f t="shared" ref="G48" si="6">G50+G52</f>
        <v>6580.37</v>
      </c>
      <c r="H48" s="538"/>
      <c r="I48" s="537">
        <f t="shared" ref="I48" si="7">I50+I52</f>
        <v>6580.37</v>
      </c>
      <c r="J48" s="538"/>
      <c r="K48" s="162">
        <f t="shared" ref="K48:K50" si="8">I48/G48*100</f>
        <v>100</v>
      </c>
    </row>
    <row r="49" spans="1:13" s="62" customFormat="1" x14ac:dyDescent="0.25">
      <c r="A49" s="529" t="s">
        <v>15</v>
      </c>
      <c r="B49" s="530"/>
      <c r="C49" s="530"/>
      <c r="D49" s="530"/>
      <c r="E49" s="530"/>
      <c r="F49" s="555"/>
      <c r="G49" s="576">
        <f t="shared" ref="G49" si="9">G50</f>
        <v>2752.75</v>
      </c>
      <c r="H49" s="577"/>
      <c r="I49" s="576">
        <f t="shared" ref="I49" si="10">I50</f>
        <v>2752.75</v>
      </c>
      <c r="J49" s="577"/>
      <c r="K49" s="176">
        <f t="shared" si="8"/>
        <v>100</v>
      </c>
    </row>
    <row r="50" spans="1:13" s="62" customFormat="1" x14ac:dyDescent="0.25">
      <c r="A50" s="24">
        <v>32</v>
      </c>
      <c r="B50" s="25" t="s">
        <v>48</v>
      </c>
      <c r="C50" s="25"/>
      <c r="D50" s="25"/>
      <c r="E50" s="25"/>
      <c r="F50" s="28"/>
      <c r="G50" s="542">
        <v>2752.75</v>
      </c>
      <c r="H50" s="543"/>
      <c r="I50" s="542">
        <f t="shared" ref="I50" si="11">I51</f>
        <v>2752.75</v>
      </c>
      <c r="J50" s="543"/>
      <c r="K50" s="72">
        <f t="shared" si="8"/>
        <v>100</v>
      </c>
    </row>
    <row r="51" spans="1:13" s="62" customFormat="1" x14ac:dyDescent="0.25">
      <c r="A51" s="10">
        <v>3232</v>
      </c>
      <c r="B51" s="4" t="s">
        <v>61</v>
      </c>
      <c r="C51" s="4"/>
      <c r="D51" s="4"/>
      <c r="E51" s="4"/>
      <c r="F51" s="11"/>
      <c r="G51" s="578"/>
      <c r="H51" s="579"/>
      <c r="I51" s="578">
        <v>2752.75</v>
      </c>
      <c r="J51" s="579"/>
      <c r="K51" s="174"/>
    </row>
    <row r="52" spans="1:13" s="62" customFormat="1" x14ac:dyDescent="0.25">
      <c r="A52" s="535" t="s">
        <v>239</v>
      </c>
      <c r="B52" s="536"/>
      <c r="C52" s="536"/>
      <c r="D52" s="536"/>
      <c r="E52" s="536"/>
      <c r="F52" s="536"/>
      <c r="G52" s="532">
        <f t="shared" ref="G52" si="12">G53</f>
        <v>3827.62</v>
      </c>
      <c r="H52" s="532"/>
      <c r="I52" s="532">
        <f t="shared" ref="I52:I53" si="13">I53</f>
        <v>3827.62</v>
      </c>
      <c r="J52" s="532"/>
      <c r="K52" s="147">
        <f>I52/G52*100</f>
        <v>100</v>
      </c>
    </row>
    <row r="53" spans="1:13" s="62" customFormat="1" x14ac:dyDescent="0.25">
      <c r="A53" s="24">
        <v>32</v>
      </c>
      <c r="B53" s="25" t="s">
        <v>48</v>
      </c>
      <c r="C53" s="25"/>
      <c r="D53" s="25"/>
      <c r="E53" s="25"/>
      <c r="F53" s="28"/>
      <c r="G53" s="542">
        <v>3827.62</v>
      </c>
      <c r="H53" s="543"/>
      <c r="I53" s="542">
        <f t="shared" si="13"/>
        <v>3827.62</v>
      </c>
      <c r="J53" s="543"/>
      <c r="K53" s="72">
        <f t="shared" ref="K53" si="14">I53/G53*100</f>
        <v>100</v>
      </c>
    </row>
    <row r="54" spans="1:13" s="62" customFormat="1" x14ac:dyDescent="0.25">
      <c r="A54" s="10">
        <v>3237</v>
      </c>
      <c r="B54" s="4" t="s">
        <v>64</v>
      </c>
      <c r="C54" s="4"/>
      <c r="D54" s="4"/>
      <c r="E54" s="4"/>
      <c r="F54" s="11"/>
      <c r="G54" s="578"/>
      <c r="H54" s="579"/>
      <c r="I54" s="578">
        <v>3827.62</v>
      </c>
      <c r="J54" s="579"/>
      <c r="K54" s="51"/>
    </row>
    <row r="55" spans="1:13" s="62" customFormat="1" x14ac:dyDescent="0.25">
      <c r="A55" s="535" t="s">
        <v>89</v>
      </c>
      <c r="B55" s="536"/>
      <c r="C55" s="536"/>
      <c r="D55" s="536"/>
      <c r="E55" s="536"/>
      <c r="F55" s="574"/>
      <c r="G55" s="537">
        <f t="shared" ref="G55" si="15">G57+G61</f>
        <v>2069000</v>
      </c>
      <c r="H55" s="538"/>
      <c r="I55" s="537">
        <f t="shared" ref="I55" si="16">I57+I61</f>
        <v>2321733.21</v>
      </c>
      <c r="J55" s="538"/>
      <c r="K55" s="580">
        <f t="shared" ref="K55" si="17">I55/G55*100</f>
        <v>112.21523489608506</v>
      </c>
      <c r="L55"/>
      <c r="M55"/>
    </row>
    <row r="56" spans="1:13" s="62" customFormat="1" x14ac:dyDescent="0.25">
      <c r="A56" s="529" t="s">
        <v>90</v>
      </c>
      <c r="B56" s="530"/>
      <c r="C56" s="530"/>
      <c r="D56" s="530"/>
      <c r="E56" s="530"/>
      <c r="F56" s="555"/>
      <c r="G56" s="576"/>
      <c r="H56" s="577"/>
      <c r="I56" s="576"/>
      <c r="J56" s="577"/>
      <c r="K56" s="573"/>
      <c r="L56"/>
      <c r="M56"/>
    </row>
    <row r="57" spans="1:13" s="62" customFormat="1" x14ac:dyDescent="0.25">
      <c r="A57" s="24">
        <v>31</v>
      </c>
      <c r="B57" s="25" t="s">
        <v>42</v>
      </c>
      <c r="C57" s="25"/>
      <c r="D57" s="25"/>
      <c r="E57" s="25"/>
      <c r="F57" s="28"/>
      <c r="G57" s="542">
        <v>2065000</v>
      </c>
      <c r="H57" s="543"/>
      <c r="I57" s="542">
        <f t="shared" ref="I57" si="18">I58+I60+I59</f>
        <v>2316741.21</v>
      </c>
      <c r="J57" s="543"/>
      <c r="K57" s="72">
        <f>I57/G57*100</f>
        <v>112.19085762711865</v>
      </c>
      <c r="L57"/>
      <c r="M57"/>
    </row>
    <row r="58" spans="1:13" s="62" customFormat="1" x14ac:dyDescent="0.25">
      <c r="A58" s="9">
        <v>3111</v>
      </c>
      <c r="B58" s="27" t="s">
        <v>44</v>
      </c>
      <c r="C58" s="27"/>
      <c r="D58" s="27"/>
      <c r="E58" s="27"/>
      <c r="F58" s="28"/>
      <c r="G58" s="270"/>
      <c r="H58" s="271"/>
      <c r="I58" s="270">
        <f>1776046.93+156579.97</f>
        <v>1932626.9</v>
      </c>
      <c r="J58" s="271"/>
      <c r="K58" s="51"/>
      <c r="L58"/>
      <c r="M58"/>
    </row>
    <row r="59" spans="1:13" s="62" customFormat="1" x14ac:dyDescent="0.25">
      <c r="A59" s="10">
        <v>3121</v>
      </c>
      <c r="B59" s="4" t="s">
        <v>45</v>
      </c>
      <c r="C59" s="4"/>
      <c r="D59" s="4"/>
      <c r="E59" s="4"/>
      <c r="F59" s="16"/>
      <c r="G59" s="270"/>
      <c r="H59" s="271"/>
      <c r="I59" s="270">
        <f>63123.19+2008.25</f>
        <v>65131.44</v>
      </c>
      <c r="J59" s="271"/>
      <c r="K59" s="51"/>
      <c r="L59"/>
      <c r="M59"/>
    </row>
    <row r="60" spans="1:13" s="62" customFormat="1" x14ac:dyDescent="0.25">
      <c r="A60" s="10">
        <v>3132</v>
      </c>
      <c r="B60" s="4" t="s">
        <v>88</v>
      </c>
      <c r="C60" s="4"/>
      <c r="D60" s="4"/>
      <c r="E60" s="4"/>
      <c r="F60" s="16"/>
      <c r="G60" s="270"/>
      <c r="H60" s="271"/>
      <c r="I60" s="270">
        <f>293147.18+25835.69</f>
        <v>318982.87</v>
      </c>
      <c r="J60" s="271"/>
      <c r="K60" s="51"/>
      <c r="L60"/>
      <c r="M60"/>
    </row>
    <row r="61" spans="1:13" s="62" customFormat="1" x14ac:dyDescent="0.25">
      <c r="A61" s="24">
        <v>32</v>
      </c>
      <c r="B61" s="25" t="s">
        <v>48</v>
      </c>
      <c r="C61" s="25"/>
      <c r="D61" s="25"/>
      <c r="E61" s="25"/>
      <c r="F61" s="28"/>
      <c r="G61" s="440">
        <v>4000</v>
      </c>
      <c r="H61" s="441"/>
      <c r="I61" s="440">
        <f t="shared" ref="I61" si="19">I62</f>
        <v>4992</v>
      </c>
      <c r="J61" s="441"/>
      <c r="K61" s="72">
        <f t="shared" ref="K61" si="20">I61/G61*100</f>
        <v>124.8</v>
      </c>
      <c r="L61"/>
      <c r="M61"/>
    </row>
    <row r="62" spans="1:13" s="62" customFormat="1" x14ac:dyDescent="0.25">
      <c r="A62" s="10">
        <v>3295</v>
      </c>
      <c r="B62" s="4" t="s">
        <v>91</v>
      </c>
      <c r="C62" s="4"/>
      <c r="D62" s="4"/>
      <c r="E62" s="4"/>
      <c r="F62" s="16"/>
      <c r="G62" s="270"/>
      <c r="H62" s="271"/>
      <c r="I62" s="270">
        <f>4604+388</f>
        <v>4992</v>
      </c>
      <c r="J62" s="271"/>
      <c r="K62" s="51"/>
      <c r="L62"/>
      <c r="M62"/>
    </row>
    <row r="63" spans="1:13" x14ac:dyDescent="0.25">
      <c r="A63" s="521" t="s">
        <v>93</v>
      </c>
      <c r="B63" s="522"/>
      <c r="C63" s="522"/>
      <c r="D63" s="522"/>
      <c r="E63" s="522"/>
      <c r="F63" s="575"/>
      <c r="G63" s="544">
        <f>G64+G68+G79+G119+G127+G138+G131</f>
        <v>62048.389999999992</v>
      </c>
      <c r="H63" s="545"/>
      <c r="I63" s="544">
        <f>I64+I68+I79+I119+I127+I138+I131</f>
        <v>61622.35</v>
      </c>
      <c r="J63" s="545"/>
      <c r="K63" s="34">
        <f t="shared" ref="K63" si="21">I63/G63*100</f>
        <v>99.313374609719943</v>
      </c>
    </row>
    <row r="64" spans="1:13" x14ac:dyDescent="0.25">
      <c r="A64" s="529" t="s">
        <v>94</v>
      </c>
      <c r="B64" s="530"/>
      <c r="C64" s="530"/>
      <c r="D64" s="530"/>
      <c r="E64" s="530"/>
      <c r="F64" s="555"/>
      <c r="G64" s="546">
        <f t="shared" ref="G64" si="22">G66</f>
        <v>1232.93</v>
      </c>
      <c r="H64" s="547"/>
      <c r="I64" s="546">
        <f t="shared" ref="I64" si="23">I66</f>
        <v>1232.93</v>
      </c>
      <c r="J64" s="547"/>
      <c r="K64" s="573">
        <f t="shared" ref="K64:K65" si="24">I64/G64*100</f>
        <v>100</v>
      </c>
    </row>
    <row r="65" spans="1:11" x14ac:dyDescent="0.25">
      <c r="A65" s="529" t="s">
        <v>95</v>
      </c>
      <c r="B65" s="530"/>
      <c r="C65" s="530"/>
      <c r="D65" s="530"/>
      <c r="E65" s="530"/>
      <c r="F65" s="555"/>
      <c r="G65" s="537"/>
      <c r="H65" s="538"/>
      <c r="I65" s="537"/>
      <c r="J65" s="538"/>
      <c r="K65" s="573" t="e">
        <f t="shared" si="24"/>
        <v>#DIV/0!</v>
      </c>
    </row>
    <row r="66" spans="1:11" x14ac:dyDescent="0.25">
      <c r="A66" s="24">
        <v>32</v>
      </c>
      <c r="B66" s="25" t="s">
        <v>48</v>
      </c>
      <c r="C66" s="25"/>
      <c r="D66" s="25"/>
      <c r="E66" s="25"/>
      <c r="F66" s="28"/>
      <c r="G66" s="542">
        <v>1232.93</v>
      </c>
      <c r="H66" s="543"/>
      <c r="I66" s="542">
        <f>SUM(I67:J67)</f>
        <v>1232.93</v>
      </c>
      <c r="J66" s="543"/>
      <c r="K66" s="72">
        <f>I66/G66*100</f>
        <v>100</v>
      </c>
    </row>
    <row r="67" spans="1:11" x14ac:dyDescent="0.25">
      <c r="A67" s="9">
        <v>3299</v>
      </c>
      <c r="B67" s="27" t="s">
        <v>103</v>
      </c>
      <c r="C67" s="27"/>
      <c r="D67" s="27"/>
      <c r="E67" s="27"/>
      <c r="F67" s="25"/>
      <c r="G67" s="572"/>
      <c r="H67" s="572"/>
      <c r="I67" s="572">
        <v>1232.93</v>
      </c>
      <c r="J67" s="572"/>
      <c r="K67" s="157"/>
    </row>
    <row r="68" spans="1:11" s="62" customFormat="1" x14ac:dyDescent="0.25">
      <c r="A68" s="529" t="s">
        <v>207</v>
      </c>
      <c r="B68" s="530"/>
      <c r="C68" s="530"/>
      <c r="D68" s="530"/>
      <c r="E68" s="530"/>
      <c r="F68" s="555"/>
      <c r="G68" s="532">
        <f>G69+G74</f>
        <v>6610</v>
      </c>
      <c r="H68" s="532"/>
      <c r="I68" s="532">
        <f>I69+I74</f>
        <v>8681.2099999999991</v>
      </c>
      <c r="J68" s="532"/>
      <c r="K68" s="158">
        <f>I68/G68*100</f>
        <v>131.33449319213312</v>
      </c>
    </row>
    <row r="69" spans="1:11" s="62" customFormat="1" x14ac:dyDescent="0.25">
      <c r="A69" s="529" t="s">
        <v>208</v>
      </c>
      <c r="B69" s="530"/>
      <c r="C69" s="530"/>
      <c r="D69" s="530"/>
      <c r="E69" s="530"/>
      <c r="F69" s="555"/>
      <c r="G69" s="528">
        <f t="shared" ref="G69" si="25">G70+G72</f>
        <v>1010</v>
      </c>
      <c r="H69" s="528"/>
      <c r="I69" s="528">
        <f t="shared" ref="I69" si="26">I70+I72</f>
        <v>3295.14</v>
      </c>
      <c r="J69" s="528"/>
      <c r="K69" s="146">
        <f>I69/G69*100</f>
        <v>326.25148514851486</v>
      </c>
    </row>
    <row r="70" spans="1:11" s="62" customFormat="1" x14ac:dyDescent="0.25">
      <c r="A70" s="24">
        <v>31</v>
      </c>
      <c r="B70" s="25" t="s">
        <v>42</v>
      </c>
      <c r="C70" s="25"/>
      <c r="D70" s="25"/>
      <c r="E70" s="25"/>
      <c r="F70" s="26"/>
      <c r="G70" s="451">
        <v>1000</v>
      </c>
      <c r="H70" s="451"/>
      <c r="I70" s="451">
        <f t="shared" ref="I70" si="27">I71</f>
        <v>3295.14</v>
      </c>
      <c r="J70" s="451"/>
      <c r="K70" s="175">
        <f t="shared" ref="K70:K72" si="28">I70/G70*100</f>
        <v>329.51400000000001</v>
      </c>
    </row>
    <row r="71" spans="1:11" s="62" customFormat="1" x14ac:dyDescent="0.25">
      <c r="A71" s="9">
        <v>3113</v>
      </c>
      <c r="B71" s="27" t="s">
        <v>233</v>
      </c>
      <c r="C71" s="27"/>
      <c r="D71" s="27"/>
      <c r="E71" s="27"/>
      <c r="F71" s="25"/>
      <c r="G71" s="439"/>
      <c r="H71" s="439"/>
      <c r="I71" s="439">
        <v>3295.14</v>
      </c>
      <c r="J71" s="439"/>
      <c r="K71" s="165"/>
    </row>
    <row r="72" spans="1:11" s="62" customFormat="1" x14ac:dyDescent="0.25">
      <c r="A72" s="24">
        <v>32</v>
      </c>
      <c r="B72" s="25" t="s">
        <v>48</v>
      </c>
      <c r="C72" s="25"/>
      <c r="D72" s="25"/>
      <c r="E72" s="25"/>
      <c r="F72" s="27"/>
      <c r="G72" s="442">
        <v>10</v>
      </c>
      <c r="H72" s="442"/>
      <c r="I72" s="442">
        <f t="shared" ref="I72" si="29">I73</f>
        <v>0</v>
      </c>
      <c r="J72" s="442"/>
      <c r="K72" s="137">
        <f t="shared" si="28"/>
        <v>0</v>
      </c>
    </row>
    <row r="73" spans="1:11" s="62" customFormat="1" x14ac:dyDescent="0.25">
      <c r="A73" s="9">
        <v>3237</v>
      </c>
      <c r="B73" s="27" t="s">
        <v>64</v>
      </c>
      <c r="C73" s="27"/>
      <c r="D73" s="27"/>
      <c r="E73" s="27"/>
      <c r="F73" s="25"/>
      <c r="G73" s="457"/>
      <c r="H73" s="457"/>
      <c r="I73" s="457"/>
      <c r="J73" s="457"/>
      <c r="K73" s="165"/>
    </row>
    <row r="74" spans="1:11" s="62" customFormat="1" x14ac:dyDescent="0.25">
      <c r="A74" s="535" t="s">
        <v>209</v>
      </c>
      <c r="B74" s="536"/>
      <c r="C74" s="536"/>
      <c r="D74" s="536"/>
      <c r="E74" s="536"/>
      <c r="F74" s="536"/>
      <c r="G74" s="532">
        <f t="shared" ref="G74" si="30">G75+G77</f>
        <v>5600</v>
      </c>
      <c r="H74" s="532"/>
      <c r="I74" s="532">
        <f t="shared" ref="I74" si="31">I75+I77</f>
        <v>5386.07</v>
      </c>
      <c r="J74" s="532"/>
      <c r="K74" s="158">
        <f>I74/G74*100</f>
        <v>96.179821428571415</v>
      </c>
    </row>
    <row r="75" spans="1:11" s="62" customFormat="1" x14ac:dyDescent="0.25">
      <c r="A75" s="24">
        <v>31</v>
      </c>
      <c r="B75" s="25" t="s">
        <v>42</v>
      </c>
      <c r="C75" s="25"/>
      <c r="D75" s="25"/>
      <c r="E75" s="25"/>
      <c r="F75" s="27"/>
      <c r="G75" s="451">
        <v>5000</v>
      </c>
      <c r="H75" s="451"/>
      <c r="I75" s="451">
        <f t="shared" ref="I75" si="32">I76</f>
        <v>5386.07</v>
      </c>
      <c r="J75" s="451"/>
      <c r="K75" s="166">
        <f t="shared" ref="K75:K77" si="33">I75/G75*100</f>
        <v>107.72139999999999</v>
      </c>
    </row>
    <row r="76" spans="1:11" s="62" customFormat="1" x14ac:dyDescent="0.25">
      <c r="A76" s="9">
        <v>3113</v>
      </c>
      <c r="B76" s="62" t="s">
        <v>233</v>
      </c>
      <c r="C76" s="138"/>
      <c r="D76" s="138"/>
      <c r="E76" s="138"/>
      <c r="F76" s="138"/>
      <c r="G76" s="439"/>
      <c r="H76" s="439"/>
      <c r="I76" s="439">
        <v>5386.07</v>
      </c>
      <c r="J76" s="439"/>
      <c r="K76" s="165"/>
    </row>
    <row r="77" spans="1:11" s="62" customFormat="1" x14ac:dyDescent="0.25">
      <c r="A77" s="24">
        <v>32</v>
      </c>
      <c r="B77" s="427" t="s">
        <v>48</v>
      </c>
      <c r="C77" s="427"/>
      <c r="D77" s="427"/>
      <c r="E77" s="427"/>
      <c r="F77" s="427"/>
      <c r="G77" s="442">
        <v>600</v>
      </c>
      <c r="H77" s="442"/>
      <c r="I77" s="442">
        <f>SUM(I78:J78)</f>
        <v>0</v>
      </c>
      <c r="J77" s="442"/>
      <c r="K77" s="137">
        <f t="shared" si="33"/>
        <v>0</v>
      </c>
    </row>
    <row r="78" spans="1:11" s="62" customFormat="1" x14ac:dyDescent="0.25">
      <c r="A78" s="9">
        <v>3237</v>
      </c>
      <c r="B78" s="419" t="s">
        <v>64</v>
      </c>
      <c r="C78" s="419"/>
      <c r="D78" s="419"/>
      <c r="E78" s="419"/>
      <c r="F78" s="419"/>
      <c r="G78" s="439"/>
      <c r="H78" s="439"/>
      <c r="I78" s="439"/>
      <c r="J78" s="439"/>
      <c r="K78" s="165"/>
    </row>
    <row r="79" spans="1:11" x14ac:dyDescent="0.25">
      <c r="A79" s="140" t="s">
        <v>96</v>
      </c>
      <c r="B79" s="141"/>
      <c r="C79" s="141"/>
      <c r="D79" s="141"/>
      <c r="E79" s="141"/>
      <c r="F79" s="142"/>
      <c r="G79" s="537">
        <f>G80+G83+G87+G98+G101+G112+G116</f>
        <v>32224.6</v>
      </c>
      <c r="H79" s="538"/>
      <c r="I79" s="537">
        <f>I80+I83+I87+I98+I101+I112+I116</f>
        <v>29727.35</v>
      </c>
      <c r="J79" s="538"/>
      <c r="K79" s="158">
        <f>I79/G79*100</f>
        <v>92.250485653817265</v>
      </c>
    </row>
    <row r="80" spans="1:11" x14ac:dyDescent="0.25">
      <c r="A80" s="529" t="s">
        <v>99</v>
      </c>
      <c r="B80" s="530"/>
      <c r="C80" s="530"/>
      <c r="D80" s="530"/>
      <c r="E80" s="530"/>
      <c r="F80" s="530"/>
      <c r="G80" s="528">
        <f t="shared" ref="G80" si="34">G81</f>
        <v>10</v>
      </c>
      <c r="H80" s="528"/>
      <c r="I80" s="528">
        <f t="shared" ref="I80" si="35">I81</f>
        <v>623.4</v>
      </c>
      <c r="J80" s="528"/>
      <c r="K80" s="163">
        <f t="shared" ref="K80:K81" si="36">I80/G80*100</f>
        <v>6234</v>
      </c>
    </row>
    <row r="81" spans="1:13" s="62" customFormat="1" x14ac:dyDescent="0.25">
      <c r="A81" s="24">
        <v>32</v>
      </c>
      <c r="B81" s="25" t="s">
        <v>48</v>
      </c>
      <c r="C81" s="25"/>
      <c r="D81" s="25"/>
      <c r="E81" s="25"/>
      <c r="F81" s="25"/>
      <c r="G81" s="451">
        <v>10</v>
      </c>
      <c r="H81" s="451"/>
      <c r="I81" s="451">
        <f>SUM(I82:J82)</f>
        <v>623.4</v>
      </c>
      <c r="J81" s="451"/>
      <c r="K81" s="159">
        <f t="shared" si="36"/>
        <v>6234</v>
      </c>
    </row>
    <row r="82" spans="1:13" s="62" customFormat="1" x14ac:dyDescent="0.25">
      <c r="A82" s="10">
        <v>3299</v>
      </c>
      <c r="B82" s="4" t="s">
        <v>67</v>
      </c>
      <c r="C82" s="4"/>
      <c r="D82" s="4"/>
      <c r="E82" s="4"/>
      <c r="F82" s="139"/>
      <c r="G82" s="439"/>
      <c r="H82" s="439"/>
      <c r="I82" s="439">
        <v>623.4</v>
      </c>
      <c r="J82" s="439"/>
      <c r="K82" s="160"/>
    </row>
    <row r="83" spans="1:13" s="62" customFormat="1" x14ac:dyDescent="0.25">
      <c r="A83" s="535" t="s">
        <v>98</v>
      </c>
      <c r="B83" s="536"/>
      <c r="C83" s="536"/>
      <c r="D83" s="536"/>
      <c r="E83" s="536"/>
      <c r="F83" s="536"/>
      <c r="G83" s="532">
        <f t="shared" ref="G83" si="37">G84</f>
        <v>20</v>
      </c>
      <c r="H83" s="532"/>
      <c r="I83" s="532">
        <f t="shared" ref="I83" si="38">I84</f>
        <v>0</v>
      </c>
      <c r="J83" s="532"/>
      <c r="K83" s="158">
        <f t="shared" ref="K83:K101" si="39">I83/G83*100</f>
        <v>0</v>
      </c>
      <c r="L83"/>
      <c r="M83"/>
    </row>
    <row r="84" spans="1:13" x14ac:dyDescent="0.25">
      <c r="A84" s="24">
        <v>32</v>
      </c>
      <c r="B84" s="539" t="s">
        <v>48</v>
      </c>
      <c r="C84" s="539"/>
      <c r="D84" s="539"/>
      <c r="E84" s="539"/>
      <c r="F84" s="539"/>
      <c r="G84" s="451">
        <v>20</v>
      </c>
      <c r="H84" s="451"/>
      <c r="I84" s="451">
        <f>SUM(I85:J86)</f>
        <v>0</v>
      </c>
      <c r="J84" s="451"/>
      <c r="K84" s="159">
        <f>I84/G84*100</f>
        <v>0</v>
      </c>
    </row>
    <row r="85" spans="1:13" s="62" customFormat="1" x14ac:dyDescent="0.25">
      <c r="A85" s="10">
        <v>3293</v>
      </c>
      <c r="B85" s="419" t="s">
        <v>70</v>
      </c>
      <c r="C85" s="419"/>
      <c r="D85" s="419"/>
      <c r="E85" s="419"/>
      <c r="F85" s="419"/>
      <c r="G85" s="439"/>
      <c r="H85" s="439"/>
      <c r="I85" s="439"/>
      <c r="J85" s="439"/>
      <c r="K85" s="160"/>
    </row>
    <row r="86" spans="1:13" s="62" customFormat="1" x14ac:dyDescent="0.25">
      <c r="A86" s="10">
        <v>3299</v>
      </c>
      <c r="B86" s="419" t="s">
        <v>67</v>
      </c>
      <c r="C86" s="419"/>
      <c r="D86" s="419"/>
      <c r="E86" s="419"/>
      <c r="F86" s="419"/>
      <c r="G86" s="439"/>
      <c r="H86" s="439"/>
      <c r="I86" s="439"/>
      <c r="J86" s="439"/>
      <c r="K86" s="160"/>
    </row>
    <row r="87" spans="1:13" x14ac:dyDescent="0.25">
      <c r="A87" s="535" t="s">
        <v>263</v>
      </c>
      <c r="B87" s="536"/>
      <c r="C87" s="536"/>
      <c r="D87" s="536"/>
      <c r="E87" s="536"/>
      <c r="F87" s="536"/>
      <c r="G87" s="532">
        <f>G88+G90+G95+G93</f>
        <v>9530</v>
      </c>
      <c r="H87" s="532"/>
      <c r="I87" s="532">
        <f>I88+I90+I95+I93</f>
        <v>8930.15</v>
      </c>
      <c r="J87" s="532"/>
      <c r="K87" s="227">
        <f t="shared" ref="K87:K88" si="40">I87/G87*100</f>
        <v>93.70566631689401</v>
      </c>
    </row>
    <row r="88" spans="1:13" s="62" customFormat="1" x14ac:dyDescent="0.25">
      <c r="A88" s="24">
        <v>31</v>
      </c>
      <c r="B88" s="25" t="s">
        <v>42</v>
      </c>
      <c r="C88" s="25"/>
      <c r="D88" s="25"/>
      <c r="E88" s="25"/>
      <c r="F88" s="27"/>
      <c r="G88" s="451">
        <v>10</v>
      </c>
      <c r="H88" s="451"/>
      <c r="I88" s="451">
        <f t="shared" ref="I88" si="41">I89</f>
        <v>0</v>
      </c>
      <c r="J88" s="451"/>
      <c r="K88" s="72">
        <f t="shared" si="40"/>
        <v>0</v>
      </c>
    </row>
    <row r="89" spans="1:13" s="62" customFormat="1" x14ac:dyDescent="0.25">
      <c r="A89" s="9">
        <v>3111</v>
      </c>
      <c r="B89" s="419" t="s">
        <v>211</v>
      </c>
      <c r="C89" s="419"/>
      <c r="D89" s="419"/>
      <c r="E89" s="419"/>
      <c r="F89" s="419"/>
      <c r="G89" s="439"/>
      <c r="H89" s="439"/>
      <c r="I89" s="442"/>
      <c r="J89" s="442"/>
      <c r="K89" s="129"/>
    </row>
    <row r="90" spans="1:13" x14ac:dyDescent="0.25">
      <c r="A90" s="15">
        <v>32</v>
      </c>
      <c r="B90" s="5" t="s">
        <v>48</v>
      </c>
      <c r="C90" s="5"/>
      <c r="D90" s="5"/>
      <c r="E90" s="5"/>
      <c r="F90" s="5"/>
      <c r="G90" s="442">
        <v>5500</v>
      </c>
      <c r="H90" s="442"/>
      <c r="I90" s="442">
        <f>SUM(I91:J92)</f>
        <v>6145.6</v>
      </c>
      <c r="J90" s="442"/>
      <c r="K90" s="129">
        <f>I90/G90*100</f>
        <v>111.73818181818183</v>
      </c>
    </row>
    <row r="91" spans="1:13" s="62" customFormat="1" x14ac:dyDescent="0.25">
      <c r="A91" s="10">
        <v>3296</v>
      </c>
      <c r="B91" s="419" t="s">
        <v>73</v>
      </c>
      <c r="C91" s="419"/>
      <c r="D91" s="419"/>
      <c r="E91" s="419"/>
      <c r="F91" s="419"/>
      <c r="G91" s="439"/>
      <c r="H91" s="439"/>
      <c r="I91" s="439">
        <v>2614.5700000000002</v>
      </c>
      <c r="J91" s="439"/>
      <c r="K91" s="160"/>
    </row>
    <row r="92" spans="1:13" s="62" customFormat="1" x14ac:dyDescent="0.25">
      <c r="A92" s="10">
        <v>3299</v>
      </c>
      <c r="B92" s="419" t="s">
        <v>67</v>
      </c>
      <c r="C92" s="419"/>
      <c r="D92" s="419"/>
      <c r="E92" s="419"/>
      <c r="F92" s="419"/>
      <c r="G92" s="439"/>
      <c r="H92" s="439"/>
      <c r="I92" s="439">
        <v>3531.03</v>
      </c>
      <c r="J92" s="439"/>
      <c r="K92" s="160"/>
    </row>
    <row r="93" spans="1:13" s="62" customFormat="1" x14ac:dyDescent="0.25">
      <c r="A93" s="128">
        <v>37</v>
      </c>
      <c r="B93" s="5" t="s">
        <v>236</v>
      </c>
      <c r="C93" s="5"/>
      <c r="D93" s="5"/>
      <c r="E93" s="5"/>
      <c r="F93" s="5"/>
      <c r="G93" s="442">
        <v>4000</v>
      </c>
      <c r="H93" s="442"/>
      <c r="I93" s="442">
        <f t="shared" ref="I93" si="42">SUM(I94)</f>
        <v>2033.6</v>
      </c>
      <c r="J93" s="442"/>
      <c r="K93" s="129">
        <f>I93/G93*100</f>
        <v>50.839999999999996</v>
      </c>
    </row>
    <row r="94" spans="1:13" s="62" customFormat="1" x14ac:dyDescent="0.25">
      <c r="A94" s="9">
        <v>3721</v>
      </c>
      <c r="B94" s="419" t="s">
        <v>216</v>
      </c>
      <c r="C94" s="419"/>
      <c r="D94" s="419"/>
      <c r="E94" s="419"/>
      <c r="F94" s="419"/>
      <c r="G94" s="439"/>
      <c r="H94" s="439"/>
      <c r="I94" s="439">
        <v>2033.6</v>
      </c>
      <c r="J94" s="439"/>
      <c r="K94" s="157"/>
    </row>
    <row r="95" spans="1:13" x14ac:dyDescent="0.25">
      <c r="A95" s="24">
        <v>42</v>
      </c>
      <c r="B95" s="25" t="s">
        <v>74</v>
      </c>
      <c r="C95" s="25"/>
      <c r="D95" s="25"/>
      <c r="E95" s="25"/>
      <c r="F95" s="25"/>
      <c r="G95" s="451">
        <v>20</v>
      </c>
      <c r="H95" s="451"/>
      <c r="I95" s="451">
        <f>SUM(I97:J97)</f>
        <v>750.95</v>
      </c>
      <c r="J95" s="451"/>
      <c r="K95" s="159">
        <f>I95/G95*100</f>
        <v>3754.75</v>
      </c>
    </row>
    <row r="96" spans="1:13" s="62" customFormat="1" x14ac:dyDescent="0.25">
      <c r="A96" s="10">
        <v>4227</v>
      </c>
      <c r="B96" s="222" t="s">
        <v>212</v>
      </c>
      <c r="C96" s="222"/>
      <c r="D96" s="222"/>
      <c r="E96" s="222"/>
      <c r="F96" s="11"/>
      <c r="G96" s="548"/>
      <c r="H96" s="548"/>
      <c r="I96" s="548">
        <v>750.95</v>
      </c>
      <c r="J96" s="548"/>
      <c r="K96" s="160"/>
    </row>
    <row r="97" spans="1:13" x14ac:dyDescent="0.25">
      <c r="A97" s="10">
        <v>4241</v>
      </c>
      <c r="B97" s="222" t="s">
        <v>97</v>
      </c>
      <c r="C97" s="222"/>
      <c r="D97" s="222"/>
      <c r="E97" s="222"/>
      <c r="F97" s="11"/>
      <c r="G97" s="548"/>
      <c r="H97" s="548"/>
      <c r="I97" s="548">
        <v>750.95</v>
      </c>
      <c r="J97" s="548"/>
      <c r="K97" s="160"/>
    </row>
    <row r="98" spans="1:13" x14ac:dyDescent="0.25">
      <c r="A98" s="535" t="s">
        <v>101</v>
      </c>
      <c r="B98" s="536"/>
      <c r="C98" s="536"/>
      <c r="D98" s="536"/>
      <c r="E98" s="536"/>
      <c r="F98" s="536"/>
      <c r="G98" s="532">
        <f t="shared" ref="G98" si="43">G99</f>
        <v>100</v>
      </c>
      <c r="H98" s="532"/>
      <c r="I98" s="532">
        <f t="shared" ref="I98:I99" si="44">I99</f>
        <v>0</v>
      </c>
      <c r="J98" s="532"/>
      <c r="K98" s="158">
        <f t="shared" si="39"/>
        <v>0</v>
      </c>
    </row>
    <row r="99" spans="1:13" x14ac:dyDescent="0.25">
      <c r="A99" s="24">
        <v>42</v>
      </c>
      <c r="B99" s="25" t="s">
        <v>74</v>
      </c>
      <c r="C99" s="25"/>
      <c r="D99" s="25"/>
      <c r="E99" s="25"/>
      <c r="F99" s="25"/>
      <c r="G99" s="451">
        <v>100</v>
      </c>
      <c r="H99" s="451"/>
      <c r="I99" s="451">
        <f t="shared" si="44"/>
        <v>0</v>
      </c>
      <c r="J99" s="451"/>
      <c r="K99" s="159">
        <f>I99/G99*100</f>
        <v>0</v>
      </c>
    </row>
    <row r="100" spans="1:13" x14ac:dyDescent="0.25">
      <c r="A100" s="19">
        <v>4241</v>
      </c>
      <c r="B100" s="3" t="s">
        <v>97</v>
      </c>
      <c r="C100" s="3"/>
      <c r="D100" s="3"/>
      <c r="E100" s="3"/>
      <c r="F100" s="3"/>
      <c r="G100" s="533"/>
      <c r="H100" s="533"/>
      <c r="I100" s="533"/>
      <c r="J100" s="533"/>
      <c r="K100" s="157"/>
    </row>
    <row r="101" spans="1:13" x14ac:dyDescent="0.25">
      <c r="A101" s="535" t="s">
        <v>100</v>
      </c>
      <c r="B101" s="536"/>
      <c r="C101" s="536"/>
      <c r="D101" s="536"/>
      <c r="E101" s="536"/>
      <c r="F101" s="536"/>
      <c r="G101" s="532">
        <f>SUM(G102+G110)</f>
        <v>17544.599999999999</v>
      </c>
      <c r="H101" s="532"/>
      <c r="I101" s="532">
        <f>SUM(I102+I110)</f>
        <v>15843.8</v>
      </c>
      <c r="J101" s="532"/>
      <c r="K101" s="158">
        <f t="shared" si="39"/>
        <v>90.305849093168263</v>
      </c>
    </row>
    <row r="102" spans="1:13" x14ac:dyDescent="0.25">
      <c r="A102" s="24">
        <v>32</v>
      </c>
      <c r="B102" s="25" t="s">
        <v>48</v>
      </c>
      <c r="C102" s="25"/>
      <c r="D102" s="25"/>
      <c r="E102" s="25"/>
      <c r="F102" s="25"/>
      <c r="G102" s="451">
        <v>17534.599999999999</v>
      </c>
      <c r="H102" s="451"/>
      <c r="I102" s="451">
        <f>SUM(I103:J109)</f>
        <v>15843.8</v>
      </c>
      <c r="J102" s="451"/>
      <c r="K102" s="159">
        <f>I102/G102*100</f>
        <v>90.357350609651775</v>
      </c>
    </row>
    <row r="103" spans="1:13" x14ac:dyDescent="0.25">
      <c r="A103" s="9">
        <v>3211</v>
      </c>
      <c r="B103" s="27" t="s">
        <v>50</v>
      </c>
      <c r="C103" s="27"/>
      <c r="D103" s="27"/>
      <c r="E103" s="27"/>
      <c r="F103" s="27"/>
      <c r="G103" s="439"/>
      <c r="H103" s="439"/>
      <c r="I103" s="439">
        <v>2159.7399999999998</v>
      </c>
      <c r="J103" s="439"/>
      <c r="K103" s="157"/>
    </row>
    <row r="104" spans="1:13" s="62" customFormat="1" x14ac:dyDescent="0.25">
      <c r="A104" s="10">
        <v>3221</v>
      </c>
      <c r="B104" s="222" t="s">
        <v>126</v>
      </c>
      <c r="C104" s="222"/>
      <c r="D104" s="222"/>
      <c r="E104" s="222"/>
      <c r="F104" s="222"/>
      <c r="G104" s="439"/>
      <c r="H104" s="439"/>
      <c r="I104" s="439"/>
      <c r="J104" s="439"/>
      <c r="K104" s="160"/>
    </row>
    <row r="105" spans="1:13" s="62" customFormat="1" x14ac:dyDescent="0.25">
      <c r="A105" s="10">
        <v>3235</v>
      </c>
      <c r="B105" s="4" t="s">
        <v>210</v>
      </c>
      <c r="C105" s="4"/>
      <c r="D105" s="4"/>
      <c r="E105" s="4"/>
      <c r="F105" s="139"/>
      <c r="G105" s="439"/>
      <c r="H105" s="439"/>
      <c r="I105" s="439">
        <v>3560</v>
      </c>
      <c r="J105" s="439"/>
      <c r="K105" s="160"/>
      <c r="L105"/>
      <c r="M105"/>
    </row>
    <row r="106" spans="1:13" s="62" customFormat="1" x14ac:dyDescent="0.25">
      <c r="A106" s="9">
        <v>3239</v>
      </c>
      <c r="B106" s="27" t="s">
        <v>66</v>
      </c>
      <c r="C106" s="27"/>
      <c r="D106" s="27"/>
      <c r="E106" s="27"/>
      <c r="F106" s="27"/>
      <c r="G106" s="439"/>
      <c r="H106" s="439"/>
      <c r="I106" s="439">
        <v>2000</v>
      </c>
      <c r="J106" s="439"/>
      <c r="K106" s="157"/>
    </row>
    <row r="107" spans="1:13" s="62" customFormat="1" x14ac:dyDescent="0.25">
      <c r="A107" s="9">
        <v>3293</v>
      </c>
      <c r="B107" s="419" t="s">
        <v>70</v>
      </c>
      <c r="C107" s="419"/>
      <c r="D107" s="419"/>
      <c r="E107" s="419"/>
      <c r="F107" s="419"/>
      <c r="G107" s="439"/>
      <c r="H107" s="439"/>
      <c r="I107" s="439">
        <v>2573.9899999999998</v>
      </c>
      <c r="J107" s="439"/>
      <c r="K107" s="157"/>
    </row>
    <row r="108" spans="1:13" s="62" customFormat="1" x14ac:dyDescent="0.25">
      <c r="A108" s="9">
        <v>3296</v>
      </c>
      <c r="B108" s="27" t="s">
        <v>73</v>
      </c>
      <c r="C108" s="27"/>
      <c r="D108" s="27"/>
      <c r="E108" s="27"/>
      <c r="F108" s="27"/>
      <c r="G108" s="439"/>
      <c r="H108" s="439"/>
      <c r="I108" s="439">
        <v>349.06</v>
      </c>
      <c r="J108" s="439"/>
      <c r="K108" s="157"/>
    </row>
    <row r="109" spans="1:13" s="62" customFormat="1" x14ac:dyDescent="0.25">
      <c r="A109" s="9">
        <v>3299</v>
      </c>
      <c r="B109" s="27" t="s">
        <v>67</v>
      </c>
      <c r="C109" s="27"/>
      <c r="D109" s="27"/>
      <c r="E109" s="27"/>
      <c r="F109" s="27"/>
      <c r="G109" s="439"/>
      <c r="H109" s="439"/>
      <c r="I109" s="439">
        <v>5201.01</v>
      </c>
      <c r="J109" s="439"/>
      <c r="K109" s="157"/>
    </row>
    <row r="110" spans="1:13" s="62" customFormat="1" x14ac:dyDescent="0.25">
      <c r="A110" s="24">
        <v>42</v>
      </c>
      <c r="B110" s="25" t="s">
        <v>74</v>
      </c>
      <c r="C110" s="25"/>
      <c r="D110" s="25"/>
      <c r="E110" s="25"/>
      <c r="F110" s="25"/>
      <c r="G110" s="442">
        <v>10</v>
      </c>
      <c r="H110" s="442"/>
      <c r="I110" s="442">
        <f t="shared" ref="I110" si="45">SUM(I111:J111)</f>
        <v>0</v>
      </c>
      <c r="J110" s="442"/>
      <c r="K110" s="159">
        <f>I110/G110*100</f>
        <v>0</v>
      </c>
    </row>
    <row r="111" spans="1:13" s="62" customFormat="1" x14ac:dyDescent="0.25">
      <c r="A111" s="10">
        <v>4241</v>
      </c>
      <c r="B111" s="3" t="s">
        <v>78</v>
      </c>
      <c r="C111" s="4"/>
      <c r="D111" s="4"/>
      <c r="E111" s="4"/>
      <c r="F111" s="139"/>
      <c r="G111" s="439"/>
      <c r="H111" s="439"/>
      <c r="I111" s="439"/>
      <c r="J111" s="439"/>
      <c r="K111" s="160"/>
    </row>
    <row r="112" spans="1:13" s="62" customFormat="1" x14ac:dyDescent="0.25">
      <c r="A112" s="535" t="s">
        <v>213</v>
      </c>
      <c r="B112" s="536"/>
      <c r="C112" s="536"/>
      <c r="D112" s="536"/>
      <c r="E112" s="536"/>
      <c r="F112" s="536"/>
      <c r="G112" s="532">
        <f>G113</f>
        <v>5010</v>
      </c>
      <c r="H112" s="532"/>
      <c r="I112" s="532">
        <f t="shared" ref="I112" si="46">I113</f>
        <v>4330</v>
      </c>
      <c r="J112" s="532"/>
      <c r="K112" s="211">
        <f>I112/G112*100</f>
        <v>86.427145708582827</v>
      </c>
    </row>
    <row r="113" spans="1:13" s="62" customFormat="1" x14ac:dyDescent="0.25">
      <c r="A113" s="24">
        <v>32</v>
      </c>
      <c r="B113" s="25" t="s">
        <v>48</v>
      </c>
      <c r="C113" s="25"/>
      <c r="D113" s="25"/>
      <c r="E113" s="25"/>
      <c r="F113" s="25"/>
      <c r="G113" s="451">
        <v>5010</v>
      </c>
      <c r="H113" s="451"/>
      <c r="I113" s="451">
        <f>SUM(I114:J115)</f>
        <v>4330</v>
      </c>
      <c r="J113" s="451"/>
      <c r="K113" s="175">
        <f t="shared" ref="K113:K116" si="47">I113/G113*100</f>
        <v>86.427145708582827</v>
      </c>
    </row>
    <row r="114" spans="1:13" s="62" customFormat="1" x14ac:dyDescent="0.25">
      <c r="A114" s="9">
        <v>3211</v>
      </c>
      <c r="B114" s="27" t="s">
        <v>214</v>
      </c>
      <c r="C114" s="27"/>
      <c r="D114" s="27"/>
      <c r="E114" s="27"/>
      <c r="F114" s="27"/>
      <c r="G114" s="439"/>
      <c r="H114" s="439"/>
      <c r="I114" s="439">
        <v>4330</v>
      </c>
      <c r="J114" s="439"/>
      <c r="K114" s="171"/>
    </row>
    <row r="115" spans="1:13" s="62" customFormat="1" x14ac:dyDescent="0.25">
      <c r="A115" s="19">
        <v>3299</v>
      </c>
      <c r="B115" s="4" t="s">
        <v>67</v>
      </c>
      <c r="C115" s="4"/>
      <c r="D115" s="4"/>
      <c r="E115" s="4"/>
      <c r="F115" s="139"/>
      <c r="G115" s="439"/>
      <c r="H115" s="439"/>
      <c r="I115" s="439"/>
      <c r="J115" s="439"/>
      <c r="K115" s="171"/>
    </row>
    <row r="116" spans="1:13" s="62" customFormat="1" x14ac:dyDescent="0.25">
      <c r="A116" s="535" t="s">
        <v>215</v>
      </c>
      <c r="B116" s="536"/>
      <c r="C116" s="536"/>
      <c r="D116" s="536"/>
      <c r="E116" s="536"/>
      <c r="F116" s="536"/>
      <c r="G116" s="532">
        <f t="shared" ref="G116" si="48">G117</f>
        <v>10</v>
      </c>
      <c r="H116" s="532"/>
      <c r="I116" s="532">
        <f t="shared" ref="I116" si="49">I117</f>
        <v>0</v>
      </c>
      <c r="J116" s="532"/>
      <c r="K116" s="158">
        <f t="shared" si="47"/>
        <v>0</v>
      </c>
    </row>
    <row r="117" spans="1:13" s="62" customFormat="1" x14ac:dyDescent="0.25">
      <c r="A117" s="24">
        <v>32</v>
      </c>
      <c r="B117" s="25" t="s">
        <v>48</v>
      </c>
      <c r="C117" s="25"/>
      <c r="D117" s="25"/>
      <c r="E117" s="25"/>
      <c r="F117" s="25"/>
      <c r="G117" s="451">
        <v>10</v>
      </c>
      <c r="H117" s="451"/>
      <c r="I117" s="451">
        <f t="shared" ref="I117" si="50">SUM(I118:J118)</f>
        <v>0</v>
      </c>
      <c r="J117" s="451"/>
      <c r="K117" s="159">
        <f>I117/G117*100</f>
        <v>0</v>
      </c>
    </row>
    <row r="118" spans="1:13" s="62" customFormat="1" x14ac:dyDescent="0.25">
      <c r="A118" s="10">
        <v>3299</v>
      </c>
      <c r="B118" s="3" t="s">
        <v>67</v>
      </c>
      <c r="C118" s="4"/>
      <c r="D118" s="4"/>
      <c r="E118" s="4"/>
      <c r="F118" s="139"/>
      <c r="G118" s="439"/>
      <c r="H118" s="439"/>
      <c r="I118" s="439"/>
      <c r="J118" s="439"/>
      <c r="K118" s="160"/>
    </row>
    <row r="119" spans="1:13" x14ac:dyDescent="0.25">
      <c r="A119" s="535" t="s">
        <v>102</v>
      </c>
      <c r="B119" s="536"/>
      <c r="C119" s="536"/>
      <c r="D119" s="536"/>
      <c r="E119" s="536"/>
      <c r="F119" s="536"/>
      <c r="G119" s="531">
        <f t="shared" ref="G119" si="51">G121</f>
        <v>9225.84</v>
      </c>
      <c r="H119" s="531"/>
      <c r="I119" s="531">
        <f t="shared" ref="I119" si="52">I121</f>
        <v>9225.84</v>
      </c>
      <c r="J119" s="531"/>
      <c r="K119" s="524">
        <f>I119/G119*100</f>
        <v>100</v>
      </c>
    </row>
    <row r="120" spans="1:13" x14ac:dyDescent="0.25">
      <c r="A120" s="529" t="s">
        <v>95</v>
      </c>
      <c r="B120" s="530"/>
      <c r="C120" s="530"/>
      <c r="D120" s="530"/>
      <c r="E120" s="530"/>
      <c r="F120" s="530"/>
      <c r="G120" s="532"/>
      <c r="H120" s="532"/>
      <c r="I120" s="532"/>
      <c r="J120" s="532"/>
      <c r="K120" s="525" t="e">
        <f t="shared" ref="K120:K121" si="53">I120/G120*100</f>
        <v>#DIV/0!</v>
      </c>
    </row>
    <row r="121" spans="1:13" x14ac:dyDescent="0.25">
      <c r="A121" s="24">
        <v>32</v>
      </c>
      <c r="B121" s="25" t="s">
        <v>48</v>
      </c>
      <c r="C121" s="25"/>
      <c r="D121" s="25"/>
      <c r="E121" s="25"/>
      <c r="F121" s="25"/>
      <c r="G121" s="451">
        <v>9225.84</v>
      </c>
      <c r="H121" s="451"/>
      <c r="I121" s="451">
        <f>SUM(I122:J126)</f>
        <v>9225.84</v>
      </c>
      <c r="J121" s="451"/>
      <c r="K121" s="159">
        <f t="shared" si="53"/>
        <v>100</v>
      </c>
    </row>
    <row r="122" spans="1:13" s="62" customFormat="1" x14ac:dyDescent="0.25">
      <c r="A122" s="9">
        <v>3221</v>
      </c>
      <c r="B122" s="534" t="s">
        <v>126</v>
      </c>
      <c r="C122" s="534"/>
      <c r="D122" s="534"/>
      <c r="E122" s="534"/>
      <c r="F122" s="534"/>
      <c r="G122" s="270"/>
      <c r="H122" s="271"/>
      <c r="I122" s="270">
        <v>142.05000000000001</v>
      </c>
      <c r="J122" s="271"/>
      <c r="K122" s="167"/>
    </row>
    <row r="123" spans="1:13" s="62" customFormat="1" x14ac:dyDescent="0.25">
      <c r="A123" s="9">
        <v>3235</v>
      </c>
      <c r="B123" s="534" t="s">
        <v>62</v>
      </c>
      <c r="C123" s="534"/>
      <c r="D123" s="534"/>
      <c r="E123" s="534"/>
      <c r="F123" s="534"/>
      <c r="G123" s="270"/>
      <c r="H123" s="271"/>
      <c r="I123" s="270">
        <v>375</v>
      </c>
      <c r="J123" s="271"/>
      <c r="K123" s="167"/>
    </row>
    <row r="124" spans="1:13" s="62" customFormat="1" x14ac:dyDescent="0.25">
      <c r="A124" s="10">
        <v>3291</v>
      </c>
      <c r="B124" s="534" t="s">
        <v>218</v>
      </c>
      <c r="C124" s="534"/>
      <c r="D124" s="534"/>
      <c r="E124" s="534"/>
      <c r="F124" s="534"/>
      <c r="G124" s="270"/>
      <c r="H124" s="271"/>
      <c r="I124" s="270">
        <v>1471.68</v>
      </c>
      <c r="J124" s="271"/>
      <c r="K124" s="167"/>
    </row>
    <row r="125" spans="1:13" s="62" customFormat="1" x14ac:dyDescent="0.25">
      <c r="A125" s="9">
        <v>3293</v>
      </c>
      <c r="B125" s="534" t="s">
        <v>70</v>
      </c>
      <c r="C125" s="534"/>
      <c r="D125" s="534"/>
      <c r="E125" s="534"/>
      <c r="F125" s="534"/>
      <c r="G125" s="270"/>
      <c r="H125" s="271"/>
      <c r="I125" s="270">
        <v>1728</v>
      </c>
      <c r="J125" s="271"/>
      <c r="K125" s="170"/>
    </row>
    <row r="126" spans="1:13" s="62" customFormat="1" x14ac:dyDescent="0.25">
      <c r="A126" s="9">
        <v>3299</v>
      </c>
      <c r="B126" s="534" t="s">
        <v>67</v>
      </c>
      <c r="C126" s="534"/>
      <c r="D126" s="534"/>
      <c r="E126" s="534"/>
      <c r="F126" s="534"/>
      <c r="G126" s="270"/>
      <c r="H126" s="271"/>
      <c r="I126" s="270">
        <v>5509.11</v>
      </c>
      <c r="J126" s="271"/>
      <c r="K126" s="170"/>
    </row>
    <row r="127" spans="1:13" s="62" customFormat="1" x14ac:dyDescent="0.25">
      <c r="A127" s="535" t="s">
        <v>127</v>
      </c>
      <c r="B127" s="536"/>
      <c r="C127" s="536"/>
      <c r="D127" s="536"/>
      <c r="E127" s="536"/>
      <c r="F127" s="536"/>
      <c r="G127" s="532">
        <f t="shared" ref="G127" si="54">G129</f>
        <v>730.02</v>
      </c>
      <c r="H127" s="532"/>
      <c r="I127" s="532">
        <f t="shared" ref="I127" si="55">I129</f>
        <v>730.02</v>
      </c>
      <c r="J127" s="532"/>
      <c r="K127" s="524">
        <f t="shared" ref="K127:K128" si="56">I127/G127*100</f>
        <v>100</v>
      </c>
      <c r="L127"/>
      <c r="M127"/>
    </row>
    <row r="128" spans="1:13" s="62" customFormat="1" x14ac:dyDescent="0.25">
      <c r="A128" s="529" t="s">
        <v>241</v>
      </c>
      <c r="B128" s="530"/>
      <c r="C128" s="530"/>
      <c r="D128" s="530"/>
      <c r="E128" s="530"/>
      <c r="F128" s="530"/>
      <c r="G128" s="528"/>
      <c r="H128" s="528"/>
      <c r="I128" s="528"/>
      <c r="J128" s="528"/>
      <c r="K128" s="525" t="e">
        <f t="shared" si="56"/>
        <v>#DIV/0!</v>
      </c>
      <c r="L128"/>
      <c r="M128"/>
    </row>
    <row r="129" spans="1:13" s="62" customFormat="1" x14ac:dyDescent="0.25">
      <c r="A129" s="24">
        <v>32</v>
      </c>
      <c r="B129" s="25" t="s">
        <v>48</v>
      </c>
      <c r="C129" s="25"/>
      <c r="D129" s="25"/>
      <c r="E129" s="25"/>
      <c r="F129" s="25"/>
      <c r="G129" s="451">
        <v>730.02</v>
      </c>
      <c r="H129" s="451"/>
      <c r="I129" s="451">
        <f t="shared" ref="I129" si="57">I130</f>
        <v>730.02</v>
      </c>
      <c r="J129" s="451"/>
      <c r="K129" s="159">
        <f>I129/G129*100</f>
        <v>100</v>
      </c>
      <c r="L129"/>
      <c r="M129"/>
    </row>
    <row r="130" spans="1:13" s="62" customFormat="1" x14ac:dyDescent="0.25">
      <c r="A130" s="19">
        <v>3237</v>
      </c>
      <c r="B130" s="3" t="s">
        <v>128</v>
      </c>
      <c r="C130" s="3"/>
      <c r="D130" s="3"/>
      <c r="E130" s="3"/>
      <c r="F130" s="3"/>
      <c r="G130" s="439"/>
      <c r="H130" s="439"/>
      <c r="I130" s="439">
        <v>730.02</v>
      </c>
      <c r="J130" s="439"/>
      <c r="K130" s="157"/>
      <c r="L130"/>
      <c r="M130"/>
    </row>
    <row r="131" spans="1:13" s="62" customFormat="1" x14ac:dyDescent="0.25">
      <c r="A131" s="144" t="s">
        <v>240</v>
      </c>
      <c r="B131" s="145"/>
      <c r="C131" s="145"/>
      <c r="D131" s="145"/>
      <c r="E131" s="145"/>
      <c r="F131" s="142"/>
      <c r="G131" s="537">
        <f t="shared" ref="G131" si="58">G132+G135</f>
        <v>10325</v>
      </c>
      <c r="H131" s="538"/>
      <c r="I131" s="537">
        <f t="shared" ref="I131" si="59">I132+I135</f>
        <v>10325</v>
      </c>
      <c r="J131" s="538"/>
      <c r="K131" s="158">
        <f>I131/G131*100</f>
        <v>100</v>
      </c>
    </row>
    <row r="132" spans="1:13" s="62" customFormat="1" x14ac:dyDescent="0.25">
      <c r="A132" s="529" t="s">
        <v>95</v>
      </c>
      <c r="B132" s="530"/>
      <c r="C132" s="530"/>
      <c r="D132" s="530"/>
      <c r="E132" s="530"/>
      <c r="F132" s="530"/>
      <c r="G132" s="528">
        <f t="shared" ref="G132" si="60">G133</f>
        <v>2600</v>
      </c>
      <c r="H132" s="528"/>
      <c r="I132" s="528">
        <f t="shared" ref="I132" si="61">I133</f>
        <v>2600</v>
      </c>
      <c r="J132" s="528"/>
      <c r="K132" s="163">
        <f t="shared" ref="K132" si="62">I132/G132*100</f>
        <v>100</v>
      </c>
    </row>
    <row r="133" spans="1:13" s="62" customFormat="1" x14ac:dyDescent="0.25">
      <c r="A133" s="24">
        <v>42</v>
      </c>
      <c r="B133" s="25" t="s">
        <v>74</v>
      </c>
      <c r="C133" s="25"/>
      <c r="D133" s="25"/>
      <c r="E133" s="25"/>
      <c r="F133" s="25"/>
      <c r="G133" s="451">
        <v>2600</v>
      </c>
      <c r="H133" s="451"/>
      <c r="I133" s="451">
        <f t="shared" ref="I133" si="63">I134</f>
        <v>2600</v>
      </c>
      <c r="J133" s="451"/>
      <c r="K133" s="159">
        <f>I133/G133*100</f>
        <v>100</v>
      </c>
    </row>
    <row r="134" spans="1:13" s="62" customFormat="1" x14ac:dyDescent="0.25">
      <c r="A134" s="19">
        <v>4264</v>
      </c>
      <c r="B134" s="3" t="s">
        <v>205</v>
      </c>
      <c r="C134" s="3"/>
      <c r="D134" s="3"/>
      <c r="E134" s="3"/>
      <c r="F134" s="3"/>
      <c r="G134" s="439"/>
      <c r="H134" s="439"/>
      <c r="I134" s="439">
        <v>2600</v>
      </c>
      <c r="J134" s="439"/>
      <c r="K134" s="157"/>
    </row>
    <row r="135" spans="1:13" s="62" customFormat="1" x14ac:dyDescent="0.25">
      <c r="A135" s="535" t="s">
        <v>239</v>
      </c>
      <c r="B135" s="536"/>
      <c r="C135" s="536"/>
      <c r="D135" s="536"/>
      <c r="E135" s="536"/>
      <c r="F135" s="536"/>
      <c r="G135" s="528">
        <f t="shared" ref="G135" si="64">G136</f>
        <v>7725</v>
      </c>
      <c r="H135" s="528"/>
      <c r="I135" s="528">
        <f t="shared" ref="I135" si="65">I136</f>
        <v>7725</v>
      </c>
      <c r="J135" s="528"/>
      <c r="K135" s="163">
        <f t="shared" ref="K135" si="66">I135/G135*100</f>
        <v>100</v>
      </c>
    </row>
    <row r="136" spans="1:13" s="62" customFormat="1" x14ac:dyDescent="0.25">
      <c r="A136" s="24">
        <v>42</v>
      </c>
      <c r="B136" s="25" t="s">
        <v>74</v>
      </c>
      <c r="C136" s="25"/>
      <c r="D136" s="25"/>
      <c r="E136" s="25"/>
      <c r="F136" s="25"/>
      <c r="G136" s="451">
        <v>7725</v>
      </c>
      <c r="H136" s="451"/>
      <c r="I136" s="451">
        <f t="shared" ref="I136" si="67">I137</f>
        <v>7725</v>
      </c>
      <c r="J136" s="451"/>
      <c r="K136" s="159">
        <f>I136/G136*100</f>
        <v>100</v>
      </c>
    </row>
    <row r="137" spans="1:13" s="62" customFormat="1" x14ac:dyDescent="0.25">
      <c r="A137" s="19">
        <v>4264</v>
      </c>
      <c r="B137" s="3" t="s">
        <v>205</v>
      </c>
      <c r="C137" s="3"/>
      <c r="D137" s="3"/>
      <c r="E137" s="3"/>
      <c r="F137" s="3"/>
      <c r="G137" s="439"/>
      <c r="H137" s="439"/>
      <c r="I137" s="439">
        <v>7725</v>
      </c>
      <c r="J137" s="439"/>
      <c r="K137" s="157"/>
    </row>
    <row r="138" spans="1:13" x14ac:dyDescent="0.25">
      <c r="A138" s="535" t="s">
        <v>129</v>
      </c>
      <c r="B138" s="536"/>
      <c r="C138" s="536"/>
      <c r="D138" s="536"/>
      <c r="E138" s="536"/>
      <c r="F138" s="536"/>
      <c r="G138" s="531">
        <f t="shared" ref="G138" si="68">G140</f>
        <v>1700</v>
      </c>
      <c r="H138" s="531"/>
      <c r="I138" s="531">
        <f t="shared" ref="I138" si="69">I140</f>
        <v>1700</v>
      </c>
      <c r="J138" s="531"/>
      <c r="K138" s="524">
        <f t="shared" ref="K138:K139" si="70">I138/G138*100</f>
        <v>100</v>
      </c>
    </row>
    <row r="139" spans="1:13" x14ac:dyDescent="0.25">
      <c r="A139" s="529" t="s">
        <v>130</v>
      </c>
      <c r="B139" s="530"/>
      <c r="C139" s="530"/>
      <c r="D139" s="530"/>
      <c r="E139" s="530"/>
      <c r="F139" s="530"/>
      <c r="G139" s="532"/>
      <c r="H139" s="532"/>
      <c r="I139" s="532"/>
      <c r="J139" s="532"/>
      <c r="K139" s="525" t="e">
        <f t="shared" si="70"/>
        <v>#DIV/0!</v>
      </c>
    </row>
    <row r="140" spans="1:13" x14ac:dyDescent="0.25">
      <c r="A140" s="24">
        <v>38</v>
      </c>
      <c r="B140" s="25" t="s">
        <v>124</v>
      </c>
      <c r="C140" s="25"/>
      <c r="D140" s="25"/>
      <c r="E140" s="25"/>
      <c r="F140" s="25"/>
      <c r="G140" s="451">
        <v>1700</v>
      </c>
      <c r="H140" s="451"/>
      <c r="I140" s="451">
        <f t="shared" ref="I140" si="71">I141</f>
        <v>1700</v>
      </c>
      <c r="J140" s="451"/>
      <c r="K140" s="159">
        <f>I140/G140*100</f>
        <v>100</v>
      </c>
    </row>
    <row r="141" spans="1:13" x14ac:dyDescent="0.25">
      <c r="A141" s="19">
        <v>3812</v>
      </c>
      <c r="B141" s="3" t="s">
        <v>158</v>
      </c>
      <c r="C141" s="3"/>
      <c r="D141" s="3"/>
      <c r="E141" s="3"/>
      <c r="F141" s="3"/>
      <c r="G141" s="533"/>
      <c r="H141" s="533"/>
      <c r="I141" s="533">
        <v>1700</v>
      </c>
      <c r="J141" s="533"/>
      <c r="K141" s="157"/>
    </row>
    <row r="142" spans="1:13" x14ac:dyDescent="0.25">
      <c r="A142" s="521" t="s">
        <v>104</v>
      </c>
      <c r="B142" s="522"/>
      <c r="C142" s="522"/>
      <c r="D142" s="522"/>
      <c r="E142" s="522"/>
      <c r="F142" s="522"/>
      <c r="G142" s="523">
        <f>G143+G157+G161</f>
        <v>152115.09</v>
      </c>
      <c r="H142" s="523"/>
      <c r="I142" s="523">
        <f>I143+I157+I161</f>
        <v>153921.24</v>
      </c>
      <c r="J142" s="523"/>
      <c r="K142" s="161">
        <f t="shared" ref="K142" si="72">I142/G142*100</f>
        <v>101.18735754618426</v>
      </c>
    </row>
    <row r="143" spans="1:13" x14ac:dyDescent="0.25">
      <c r="A143" s="568" t="s">
        <v>244</v>
      </c>
      <c r="B143" s="569"/>
      <c r="C143" s="569"/>
      <c r="D143" s="569"/>
      <c r="E143" s="569"/>
      <c r="F143" s="569"/>
      <c r="G143" s="528">
        <f>G147+G155</f>
        <v>42366.99</v>
      </c>
      <c r="H143" s="528"/>
      <c r="I143" s="528">
        <f>I147+I155</f>
        <v>43690.14</v>
      </c>
      <c r="J143" s="528"/>
      <c r="K143" s="525">
        <f>I143/G143*100</f>
        <v>103.12306821891288</v>
      </c>
    </row>
    <row r="144" spans="1:13" x14ac:dyDescent="0.25">
      <c r="A144" s="526" t="s">
        <v>242</v>
      </c>
      <c r="B144" s="527"/>
      <c r="C144" s="527"/>
      <c r="D144" s="527"/>
      <c r="E144" s="527"/>
      <c r="F144" s="527"/>
      <c r="G144" s="528"/>
      <c r="H144" s="528"/>
      <c r="I144" s="528"/>
      <c r="J144" s="528"/>
      <c r="K144" s="525"/>
    </row>
    <row r="145" spans="1:11" x14ac:dyDescent="0.25">
      <c r="A145" s="570" t="s">
        <v>243</v>
      </c>
      <c r="B145" s="571"/>
      <c r="C145" s="571"/>
      <c r="D145" s="571"/>
      <c r="E145" s="571"/>
      <c r="F145" s="571"/>
      <c r="G145" s="528"/>
      <c r="H145" s="528"/>
      <c r="I145" s="528"/>
      <c r="J145" s="528"/>
      <c r="K145" s="525"/>
    </row>
    <row r="146" spans="1:11" x14ac:dyDescent="0.25">
      <c r="A146" s="37" t="s">
        <v>114</v>
      </c>
      <c r="B146" s="38"/>
      <c r="C146" s="38"/>
      <c r="D146" s="38"/>
      <c r="E146" s="38"/>
      <c r="F146" s="143"/>
      <c r="G146" s="528"/>
      <c r="H146" s="528"/>
      <c r="I146" s="528"/>
      <c r="J146" s="528"/>
      <c r="K146" s="525"/>
    </row>
    <row r="147" spans="1:11" x14ac:dyDescent="0.25">
      <c r="A147" s="24">
        <v>31</v>
      </c>
      <c r="B147" s="25" t="s">
        <v>42</v>
      </c>
      <c r="C147" s="25"/>
      <c r="D147" s="25"/>
      <c r="E147" s="25"/>
      <c r="F147" s="25"/>
      <c r="G147" s="451">
        <v>41416.17</v>
      </c>
      <c r="H147" s="451"/>
      <c r="I147" s="451">
        <f>SUM(I148:J154)</f>
        <v>42626.77</v>
      </c>
      <c r="J147" s="451"/>
      <c r="K147" s="159">
        <f>I147/G147*100</f>
        <v>102.92301291983298</v>
      </c>
    </row>
    <row r="148" spans="1:11" s="62" customFormat="1" x14ac:dyDescent="0.25">
      <c r="A148" s="9">
        <v>3111</v>
      </c>
      <c r="B148" s="27" t="s">
        <v>44</v>
      </c>
      <c r="C148" s="27"/>
      <c r="D148" s="27"/>
      <c r="E148" s="27"/>
      <c r="F148" s="27" t="s">
        <v>120</v>
      </c>
      <c r="G148" s="572"/>
      <c r="H148" s="572"/>
      <c r="I148" s="572">
        <f>11764.26+4097.68</f>
        <v>15861.94</v>
      </c>
      <c r="J148" s="572"/>
      <c r="K148" s="160"/>
    </row>
    <row r="149" spans="1:11" ht="15" customHeight="1" x14ac:dyDescent="0.25">
      <c r="A149" s="9">
        <v>3111</v>
      </c>
      <c r="B149" s="27" t="s">
        <v>44</v>
      </c>
      <c r="C149" s="27"/>
      <c r="D149" s="27"/>
      <c r="E149" s="27"/>
      <c r="F149" s="27" t="s">
        <v>119</v>
      </c>
      <c r="G149" s="572"/>
      <c r="H149" s="572"/>
      <c r="I149" s="572">
        <v>10327.4</v>
      </c>
      <c r="J149" s="572"/>
      <c r="K149" s="157"/>
    </row>
    <row r="150" spans="1:11" x14ac:dyDescent="0.25">
      <c r="A150" s="10">
        <v>3111</v>
      </c>
      <c r="B150" s="4" t="s">
        <v>44</v>
      </c>
      <c r="C150" s="4"/>
      <c r="D150" s="4"/>
      <c r="E150" s="4"/>
      <c r="F150" s="139" t="s">
        <v>187</v>
      </c>
      <c r="G150" s="572"/>
      <c r="H150" s="572"/>
      <c r="I150" s="572">
        <v>8769.23</v>
      </c>
      <c r="J150" s="572"/>
      <c r="K150" s="160"/>
    </row>
    <row r="151" spans="1:11" x14ac:dyDescent="0.25">
      <c r="A151" s="10">
        <v>3121</v>
      </c>
      <c r="B151" s="4" t="s">
        <v>45</v>
      </c>
      <c r="C151" s="4"/>
      <c r="D151" s="4"/>
      <c r="E151" s="4"/>
      <c r="F151" s="139" t="s">
        <v>120</v>
      </c>
      <c r="G151" s="439"/>
      <c r="H151" s="439"/>
      <c r="I151" s="439">
        <v>1900</v>
      </c>
      <c r="J151" s="439"/>
      <c r="K151" s="160"/>
    </row>
    <row r="152" spans="1:11" x14ac:dyDescent="0.25">
      <c r="A152" s="10">
        <v>3132</v>
      </c>
      <c r="B152" s="4" t="s">
        <v>125</v>
      </c>
      <c r="C152" s="4"/>
      <c r="D152" s="4"/>
      <c r="E152" s="4"/>
      <c r="F152" s="139" t="s">
        <v>245</v>
      </c>
      <c r="G152" s="439"/>
      <c r="H152" s="439"/>
      <c r="I152" s="439">
        <f>1116.1</f>
        <v>1116.0999999999999</v>
      </c>
      <c r="J152" s="439"/>
      <c r="K152" s="160"/>
    </row>
    <row r="153" spans="1:11" x14ac:dyDescent="0.25">
      <c r="A153" s="10">
        <v>3132</v>
      </c>
      <c r="B153" s="4" t="s">
        <v>46</v>
      </c>
      <c r="C153" s="4"/>
      <c r="D153" s="4"/>
      <c r="E153" s="4"/>
      <c r="F153" s="139" t="s">
        <v>120</v>
      </c>
      <c r="G153" s="439"/>
      <c r="H153" s="439"/>
      <c r="I153" s="439">
        <f>2529.05+676.12</f>
        <v>3205.17</v>
      </c>
      <c r="J153" s="439"/>
      <c r="K153" s="160"/>
    </row>
    <row r="154" spans="1:11" s="62" customFormat="1" x14ac:dyDescent="0.25">
      <c r="A154" s="10">
        <v>3132</v>
      </c>
      <c r="B154" s="4" t="s">
        <v>46</v>
      </c>
      <c r="C154" s="4"/>
      <c r="D154" s="4"/>
      <c r="E154" s="4"/>
      <c r="F154" s="139" t="s">
        <v>187</v>
      </c>
      <c r="G154" s="439"/>
      <c r="H154" s="439"/>
      <c r="I154" s="439">
        <v>1446.93</v>
      </c>
      <c r="J154" s="439"/>
      <c r="K154" s="160"/>
    </row>
    <row r="155" spans="1:11" x14ac:dyDescent="0.25">
      <c r="A155" s="24">
        <v>32</v>
      </c>
      <c r="B155" s="25" t="s">
        <v>48</v>
      </c>
      <c r="C155" s="25"/>
      <c r="D155" s="25"/>
      <c r="E155" s="25"/>
      <c r="F155" s="25"/>
      <c r="G155" s="451">
        <v>950.82</v>
      </c>
      <c r="H155" s="451"/>
      <c r="I155" s="451">
        <f t="shared" ref="I155" si="73">I156</f>
        <v>1063.3700000000001</v>
      </c>
      <c r="J155" s="451"/>
      <c r="K155" s="159">
        <f>I155/G155*100</f>
        <v>111.83715109063756</v>
      </c>
    </row>
    <row r="156" spans="1:11" x14ac:dyDescent="0.25">
      <c r="A156" s="19">
        <v>3212</v>
      </c>
      <c r="B156" s="21" t="s">
        <v>105</v>
      </c>
      <c r="C156" s="3"/>
      <c r="D156" s="3"/>
      <c r="E156" s="3"/>
      <c r="F156" s="3" t="s">
        <v>120</v>
      </c>
      <c r="G156" s="548"/>
      <c r="H156" s="548"/>
      <c r="I156" s="548">
        <f>950.82+112.55</f>
        <v>1063.3700000000001</v>
      </c>
      <c r="J156" s="548"/>
      <c r="K156" s="160"/>
    </row>
    <row r="157" spans="1:11" s="62" customFormat="1" x14ac:dyDescent="0.25">
      <c r="A157" s="540" t="s">
        <v>235</v>
      </c>
      <c r="B157" s="541"/>
      <c r="C157" s="541"/>
      <c r="D157" s="541"/>
      <c r="E157" s="541"/>
      <c r="F157" s="541"/>
      <c r="G157" s="532">
        <f t="shared" ref="G157" si="74">G159</f>
        <v>1934</v>
      </c>
      <c r="H157" s="532"/>
      <c r="I157" s="532">
        <f t="shared" ref="I157" si="75">I159</f>
        <v>2417</v>
      </c>
      <c r="J157" s="532"/>
      <c r="K157" s="524">
        <f>I157/G157*100</f>
        <v>124.97414684591521</v>
      </c>
    </row>
    <row r="158" spans="1:11" s="62" customFormat="1" x14ac:dyDescent="0.25">
      <c r="A158" s="526" t="s">
        <v>188</v>
      </c>
      <c r="B158" s="527"/>
      <c r="C158" s="527"/>
      <c r="D158" s="527"/>
      <c r="E158" s="527"/>
      <c r="F158" s="527"/>
      <c r="G158" s="528"/>
      <c r="H158" s="528"/>
      <c r="I158" s="528"/>
      <c r="J158" s="528"/>
      <c r="K158" s="525"/>
    </row>
    <row r="159" spans="1:11" s="62" customFormat="1" x14ac:dyDescent="0.25">
      <c r="A159" s="24">
        <v>32</v>
      </c>
      <c r="B159" s="25" t="s">
        <v>48</v>
      </c>
      <c r="C159" s="25"/>
      <c r="D159" s="25"/>
      <c r="E159" s="25"/>
      <c r="F159" s="25"/>
      <c r="G159" s="451">
        <v>1934</v>
      </c>
      <c r="H159" s="451"/>
      <c r="I159" s="451">
        <f t="shared" ref="I159" si="76">I160</f>
        <v>2417</v>
      </c>
      <c r="J159" s="451"/>
      <c r="K159" s="159">
        <f>I159/G159*100</f>
        <v>124.97414684591521</v>
      </c>
    </row>
    <row r="160" spans="1:11" s="62" customFormat="1" x14ac:dyDescent="0.25">
      <c r="A160" s="9">
        <v>3299</v>
      </c>
      <c r="B160" s="534" t="s">
        <v>67</v>
      </c>
      <c r="C160" s="534"/>
      <c r="D160" s="534"/>
      <c r="E160" s="534"/>
      <c r="F160" s="534"/>
      <c r="G160" s="439"/>
      <c r="H160" s="439"/>
      <c r="I160" s="439">
        <v>2417</v>
      </c>
      <c r="J160" s="439"/>
      <c r="K160" s="170"/>
    </row>
    <row r="161" spans="1:11" s="62" customFormat="1" x14ac:dyDescent="0.25">
      <c r="A161" s="540" t="s">
        <v>246</v>
      </c>
      <c r="B161" s="541"/>
      <c r="C161" s="541"/>
      <c r="D161" s="541"/>
      <c r="E161" s="541"/>
      <c r="F161" s="541"/>
      <c r="G161" s="532">
        <f t="shared" ref="G161" si="77">G163</f>
        <v>107814.1</v>
      </c>
      <c r="H161" s="532"/>
      <c r="I161" s="532">
        <f t="shared" ref="I161" si="78">I163</f>
        <v>107814.1</v>
      </c>
      <c r="J161" s="532"/>
      <c r="K161" s="524">
        <f>I161/G161*100</f>
        <v>100</v>
      </c>
    </row>
    <row r="162" spans="1:11" s="62" customFormat="1" x14ac:dyDescent="0.25">
      <c r="A162" s="526" t="s">
        <v>247</v>
      </c>
      <c r="B162" s="527"/>
      <c r="C162" s="527"/>
      <c r="D162" s="527"/>
      <c r="E162" s="527"/>
      <c r="F162" s="527"/>
      <c r="G162" s="528"/>
      <c r="H162" s="528"/>
      <c r="I162" s="528"/>
      <c r="J162" s="528"/>
      <c r="K162" s="525"/>
    </row>
    <row r="163" spans="1:11" s="62" customFormat="1" x14ac:dyDescent="0.25">
      <c r="A163" s="24">
        <v>45</v>
      </c>
      <c r="B163" s="25" t="s">
        <v>248</v>
      </c>
      <c r="C163" s="25"/>
      <c r="D163" s="25"/>
      <c r="E163" s="25"/>
      <c r="F163" s="25"/>
      <c r="G163" s="451">
        <v>107814.1</v>
      </c>
      <c r="H163" s="451"/>
      <c r="I163" s="451">
        <f t="shared" ref="I163" si="79">I164</f>
        <v>107814.1</v>
      </c>
      <c r="J163" s="451"/>
      <c r="K163" s="159">
        <f>I163/G163*100</f>
        <v>100</v>
      </c>
    </row>
    <row r="164" spans="1:11" s="62" customFormat="1" x14ac:dyDescent="0.25">
      <c r="A164" s="9">
        <v>4511</v>
      </c>
      <c r="B164" s="534" t="s">
        <v>135</v>
      </c>
      <c r="C164" s="534"/>
      <c r="D164" s="534"/>
      <c r="E164" s="534"/>
      <c r="F164" s="534"/>
      <c r="G164" s="439"/>
      <c r="H164" s="439"/>
      <c r="I164" s="439">
        <v>107814.1</v>
      </c>
      <c r="J164" s="439"/>
      <c r="K164" s="170"/>
    </row>
    <row r="165" spans="1:11" s="62" customFormat="1" x14ac:dyDescent="0.25">
      <c r="A165" s="521" t="s">
        <v>272</v>
      </c>
      <c r="B165" s="522"/>
      <c r="C165" s="522"/>
      <c r="D165" s="522"/>
      <c r="E165" s="522"/>
      <c r="F165" s="522"/>
      <c r="G165" s="523">
        <f>G166+G176</f>
        <v>120330.44</v>
      </c>
      <c r="H165" s="523"/>
      <c r="I165" s="523">
        <f>I166+I176</f>
        <v>37437.570000000007</v>
      </c>
      <c r="J165" s="523"/>
      <c r="K165" s="161">
        <f>I165/G165*100</f>
        <v>31.11230209080928</v>
      </c>
    </row>
    <row r="166" spans="1:11" s="62" customFormat="1" x14ac:dyDescent="0.25">
      <c r="A166" s="568" t="s">
        <v>219</v>
      </c>
      <c r="B166" s="569"/>
      <c r="C166" s="569"/>
      <c r="D166" s="569"/>
      <c r="E166" s="569"/>
      <c r="F166" s="569"/>
      <c r="G166" s="576">
        <f t="shared" ref="G166" si="80">G167+G170</f>
        <v>41288.04</v>
      </c>
      <c r="H166" s="577"/>
      <c r="I166" s="576">
        <f t="shared" ref="I166" si="81">I167+I170</f>
        <v>33427.020000000004</v>
      </c>
      <c r="J166" s="577"/>
      <c r="K166" s="176">
        <f>I166/G166*100</f>
        <v>80.960539662333218</v>
      </c>
    </row>
    <row r="167" spans="1:11" s="62" customFormat="1" x14ac:dyDescent="0.25">
      <c r="A167" s="526" t="s">
        <v>249</v>
      </c>
      <c r="B167" s="527"/>
      <c r="C167" s="527"/>
      <c r="D167" s="527"/>
      <c r="E167" s="527"/>
      <c r="F167" s="527"/>
      <c r="G167" s="576">
        <f t="shared" ref="G167" si="82">G168</f>
        <v>9500</v>
      </c>
      <c r="H167" s="577"/>
      <c r="I167" s="576">
        <f t="shared" ref="I167" si="83">I168</f>
        <v>0</v>
      </c>
      <c r="J167" s="577"/>
      <c r="K167" s="176">
        <f>I167/G167*100</f>
        <v>0</v>
      </c>
    </row>
    <row r="168" spans="1:11" s="62" customFormat="1" x14ac:dyDescent="0.25">
      <c r="A168" s="24">
        <v>32</v>
      </c>
      <c r="B168" s="25" t="s">
        <v>48</v>
      </c>
      <c r="C168" s="25"/>
      <c r="D168" s="25"/>
      <c r="E168" s="25"/>
      <c r="F168" s="25"/>
      <c r="G168" s="451">
        <v>9500</v>
      </c>
      <c r="H168" s="451"/>
      <c r="I168" s="451">
        <f>SUM(I169:J169)</f>
        <v>0</v>
      </c>
      <c r="J168" s="451"/>
      <c r="K168" s="159">
        <f>I168/G168*100</f>
        <v>0</v>
      </c>
    </row>
    <row r="169" spans="1:11" s="62" customFormat="1" x14ac:dyDescent="0.25">
      <c r="A169" s="134">
        <v>3299</v>
      </c>
      <c r="B169" s="135" t="s">
        <v>67</v>
      </c>
      <c r="C169" s="136"/>
      <c r="D169" s="136"/>
      <c r="E169" s="136"/>
      <c r="F169" s="139"/>
      <c r="G169" s="439"/>
      <c r="H169" s="439"/>
      <c r="I169" s="439"/>
      <c r="J169" s="439"/>
      <c r="K169" s="170"/>
    </row>
    <row r="170" spans="1:11" s="62" customFormat="1" x14ac:dyDescent="0.25">
      <c r="A170" s="535" t="s">
        <v>100</v>
      </c>
      <c r="B170" s="536"/>
      <c r="C170" s="536"/>
      <c r="D170" s="536"/>
      <c r="E170" s="536"/>
      <c r="F170" s="536"/>
      <c r="G170" s="532">
        <f t="shared" ref="G170" si="84">G171+G174</f>
        <v>31788.04</v>
      </c>
      <c r="H170" s="532"/>
      <c r="I170" s="532">
        <f t="shared" ref="I170" si="85">I171+I174</f>
        <v>33427.020000000004</v>
      </c>
      <c r="J170" s="532"/>
      <c r="K170" s="158">
        <f t="shared" ref="K170" si="86">I170/G170*100</f>
        <v>105.15596431865571</v>
      </c>
    </row>
    <row r="171" spans="1:11" s="62" customFormat="1" x14ac:dyDescent="0.25">
      <c r="A171" s="24">
        <v>32</v>
      </c>
      <c r="B171" s="25" t="s">
        <v>48</v>
      </c>
      <c r="C171" s="25"/>
      <c r="D171" s="25"/>
      <c r="E171" s="25"/>
      <c r="F171" s="25"/>
      <c r="G171" s="451">
        <v>27853</v>
      </c>
      <c r="H171" s="451"/>
      <c r="I171" s="451">
        <f t="shared" ref="I171" si="87">SUM(I172:J173)</f>
        <v>29491.980000000003</v>
      </c>
      <c r="J171" s="451"/>
      <c r="K171" s="159">
        <f>I171/G171*100</f>
        <v>105.88439306358384</v>
      </c>
    </row>
    <row r="172" spans="1:11" s="62" customFormat="1" x14ac:dyDescent="0.25">
      <c r="A172" s="134">
        <v>3211</v>
      </c>
      <c r="B172" s="135" t="s">
        <v>220</v>
      </c>
      <c r="C172" s="136"/>
      <c r="D172" s="136"/>
      <c r="E172" s="136"/>
      <c r="F172" s="139"/>
      <c r="G172" s="439"/>
      <c r="H172" s="439"/>
      <c r="I172" s="439">
        <v>4299.42</v>
      </c>
      <c r="J172" s="439"/>
      <c r="K172" s="170"/>
    </row>
    <row r="173" spans="1:11" s="62" customFormat="1" x14ac:dyDescent="0.25">
      <c r="A173" s="134">
        <v>3299</v>
      </c>
      <c r="B173" s="135" t="s">
        <v>67</v>
      </c>
      <c r="C173" s="136"/>
      <c r="D173" s="136"/>
      <c r="E173" s="136"/>
      <c r="F173" s="139"/>
      <c r="G173" s="439"/>
      <c r="H173" s="439"/>
      <c r="I173" s="439">
        <v>25192.560000000001</v>
      </c>
      <c r="J173" s="439"/>
      <c r="K173" s="170"/>
    </row>
    <row r="174" spans="1:11" s="62" customFormat="1" x14ac:dyDescent="0.25">
      <c r="A174" s="128">
        <v>37</v>
      </c>
      <c r="B174" s="5" t="s">
        <v>236</v>
      </c>
      <c r="C174" s="5"/>
      <c r="D174" s="5"/>
      <c r="E174" s="5"/>
      <c r="F174" s="5"/>
      <c r="G174" s="442">
        <v>3935.04</v>
      </c>
      <c r="H174" s="442"/>
      <c r="I174" s="442">
        <f t="shared" ref="I174" si="88">SUM(I175)</f>
        <v>3935.04</v>
      </c>
      <c r="J174" s="442"/>
      <c r="K174" s="129">
        <f>I174/G174*100</f>
        <v>100</v>
      </c>
    </row>
    <row r="175" spans="1:11" s="62" customFormat="1" x14ac:dyDescent="0.25">
      <c r="A175" s="134">
        <v>3721</v>
      </c>
      <c r="B175" s="135" t="s">
        <v>234</v>
      </c>
      <c r="C175" s="136"/>
      <c r="D175" s="136"/>
      <c r="E175" s="136"/>
      <c r="F175" s="220"/>
      <c r="G175" s="439"/>
      <c r="H175" s="439"/>
      <c r="I175" s="439">
        <v>3935.04</v>
      </c>
      <c r="J175" s="439"/>
      <c r="K175" s="221"/>
    </row>
    <row r="176" spans="1:11" x14ac:dyDescent="0.25">
      <c r="A176" s="568" t="s">
        <v>237</v>
      </c>
      <c r="B176" s="569"/>
      <c r="C176" s="569"/>
      <c r="D176" s="569"/>
      <c r="E176" s="569"/>
      <c r="F176" s="569"/>
      <c r="G176" s="528">
        <f t="shared" ref="G176" si="89">G178+G181</f>
        <v>79042.399999999994</v>
      </c>
      <c r="H176" s="528"/>
      <c r="I176" s="528">
        <f t="shared" ref="I176" si="90">I178+I181</f>
        <v>4010.55</v>
      </c>
      <c r="J176" s="528"/>
      <c r="K176" s="525">
        <f t="shared" ref="K176" si="91">I176/G176*100</f>
        <v>5.0739223505359154</v>
      </c>
    </row>
    <row r="177" spans="1:11" x14ac:dyDescent="0.25">
      <c r="A177" s="526" t="s">
        <v>188</v>
      </c>
      <c r="B177" s="527"/>
      <c r="C177" s="527"/>
      <c r="D177" s="527"/>
      <c r="E177" s="527"/>
      <c r="F177" s="527"/>
      <c r="G177" s="528"/>
      <c r="H177" s="528"/>
      <c r="I177" s="528"/>
      <c r="J177" s="528"/>
      <c r="K177" s="525"/>
    </row>
    <row r="178" spans="1:11" x14ac:dyDescent="0.25">
      <c r="A178" s="24">
        <v>32</v>
      </c>
      <c r="B178" s="25" t="s">
        <v>48</v>
      </c>
      <c r="C178" s="25"/>
      <c r="D178" s="25"/>
      <c r="E178" s="25"/>
      <c r="F178" s="25"/>
      <c r="G178" s="451">
        <v>69042.399999999994</v>
      </c>
      <c r="H178" s="451"/>
      <c r="I178" s="451">
        <f t="shared" ref="I178" si="92">SUM(I179:J180)</f>
        <v>4010.55</v>
      </c>
      <c r="J178" s="451"/>
      <c r="K178" s="159">
        <f>I178/G178*100</f>
        <v>5.8088218254290132</v>
      </c>
    </row>
    <row r="179" spans="1:11" s="62" customFormat="1" x14ac:dyDescent="0.25">
      <c r="A179" s="134">
        <v>3211</v>
      </c>
      <c r="B179" s="135" t="s">
        <v>220</v>
      </c>
      <c r="C179" s="136"/>
      <c r="D179" s="136"/>
      <c r="E179" s="136"/>
      <c r="F179" s="139"/>
      <c r="G179" s="439"/>
      <c r="H179" s="439"/>
      <c r="I179" s="439">
        <v>2610.5500000000002</v>
      </c>
      <c r="J179" s="439"/>
      <c r="K179" s="170"/>
    </row>
    <row r="180" spans="1:11" s="62" customFormat="1" x14ac:dyDescent="0.25">
      <c r="A180" s="134">
        <v>3299</v>
      </c>
      <c r="B180" s="135" t="s">
        <v>67</v>
      </c>
      <c r="C180" s="136"/>
      <c r="D180" s="136"/>
      <c r="E180" s="136"/>
      <c r="F180" s="139"/>
      <c r="G180" s="439"/>
      <c r="H180" s="439"/>
      <c r="I180" s="439">
        <v>1400</v>
      </c>
      <c r="J180" s="439"/>
      <c r="K180" s="170"/>
    </row>
    <row r="181" spans="1:11" s="62" customFormat="1" x14ac:dyDescent="0.25">
      <c r="A181" s="128">
        <v>37</v>
      </c>
      <c r="B181" s="5" t="s">
        <v>236</v>
      </c>
      <c r="C181" s="5"/>
      <c r="D181" s="5"/>
      <c r="E181" s="5"/>
      <c r="F181" s="5"/>
      <c r="G181" s="442">
        <v>10000</v>
      </c>
      <c r="H181" s="442"/>
      <c r="I181" s="442">
        <f t="shared" ref="I181" si="93">SUM(I182)</f>
        <v>0</v>
      </c>
      <c r="J181" s="442"/>
      <c r="K181" s="129">
        <f>I181/G181*100</f>
        <v>0</v>
      </c>
    </row>
    <row r="182" spans="1:11" ht="15.75" thickBot="1" x14ac:dyDescent="0.3">
      <c r="A182" s="131">
        <v>3721</v>
      </c>
      <c r="B182" s="132" t="s">
        <v>234</v>
      </c>
      <c r="C182" s="133"/>
      <c r="D182" s="133"/>
      <c r="E182" s="133"/>
      <c r="F182" s="156"/>
      <c r="G182" s="581"/>
      <c r="H182" s="581"/>
      <c r="I182" s="581"/>
      <c r="J182" s="581"/>
      <c r="K182" s="172"/>
    </row>
  </sheetData>
  <customSheetViews>
    <customSheetView guid="{005C429F-8448-44DF-83AD-8A930973E873}" topLeftCell="A22">
      <selection activeCell="G131" sqref="G131:H131"/>
      <rowBreaks count="1" manualBreakCount="1">
        <brk id="54" max="16383" man="1"/>
      </rowBreaks>
      <pageMargins left="0.7" right="0.7" top="0.75" bottom="0.75" header="0.3" footer="0.3"/>
      <pageSetup paperSize="9" scale="63" orientation="portrait" r:id="rId1"/>
    </customSheetView>
  </customSheetViews>
  <mergeCells count="394">
    <mergeCell ref="G181:H181"/>
    <mergeCell ref="I181:J181"/>
    <mergeCell ref="G182:H182"/>
    <mergeCell ref="I182:J182"/>
    <mergeCell ref="G48:H48"/>
    <mergeCell ref="G49:H49"/>
    <mergeCell ref="I48:J48"/>
    <mergeCell ref="I49:J49"/>
    <mergeCell ref="G178:H178"/>
    <mergeCell ref="I178:J178"/>
    <mergeCell ref="G179:H179"/>
    <mergeCell ref="I179:J179"/>
    <mergeCell ref="G180:H180"/>
    <mergeCell ref="I180:J180"/>
    <mergeCell ref="G159:H159"/>
    <mergeCell ref="I159:J159"/>
    <mergeCell ref="G174:H174"/>
    <mergeCell ref="I174:J174"/>
    <mergeCell ref="G147:H147"/>
    <mergeCell ref="I147:J147"/>
    <mergeCell ref="G74:H74"/>
    <mergeCell ref="G129:H129"/>
    <mergeCell ref="I129:J129"/>
    <mergeCell ref="A170:F170"/>
    <mergeCell ref="G170:H170"/>
    <mergeCell ref="I170:J170"/>
    <mergeCell ref="G168:H168"/>
    <mergeCell ref="I168:J168"/>
    <mergeCell ref="G169:H169"/>
    <mergeCell ref="I169:J169"/>
    <mergeCell ref="G173:H173"/>
    <mergeCell ref="I173:J173"/>
    <mergeCell ref="G172:H172"/>
    <mergeCell ref="I172:J172"/>
    <mergeCell ref="G171:H171"/>
    <mergeCell ref="I171:J171"/>
    <mergeCell ref="A167:F167"/>
    <mergeCell ref="G93:H93"/>
    <mergeCell ref="I93:J93"/>
    <mergeCell ref="G166:H166"/>
    <mergeCell ref="G167:H167"/>
    <mergeCell ref="I166:J166"/>
    <mergeCell ref="I167:J167"/>
    <mergeCell ref="A128:F128"/>
    <mergeCell ref="G154:H154"/>
    <mergeCell ref="I154:J154"/>
    <mergeCell ref="G155:H155"/>
    <mergeCell ref="I155:J155"/>
    <mergeCell ref="G134:H134"/>
    <mergeCell ref="I134:J134"/>
    <mergeCell ref="B124:F124"/>
    <mergeCell ref="G123:H123"/>
    <mergeCell ref="I123:J123"/>
    <mergeCell ref="G112:H112"/>
    <mergeCell ref="G115:H115"/>
    <mergeCell ref="A166:F166"/>
    <mergeCell ref="A157:F157"/>
    <mergeCell ref="G157:H158"/>
    <mergeCell ref="I157:J158"/>
    <mergeCell ref="I160:J160"/>
    <mergeCell ref="G176:H177"/>
    <mergeCell ref="G136:H136"/>
    <mergeCell ref="I136:J136"/>
    <mergeCell ref="G124:H124"/>
    <mergeCell ref="I124:J124"/>
    <mergeCell ref="G125:H125"/>
    <mergeCell ref="I125:J125"/>
    <mergeCell ref="I176:J177"/>
    <mergeCell ref="I175:J175"/>
    <mergeCell ref="I142:J142"/>
    <mergeCell ref="I149:J149"/>
    <mergeCell ref="I148:J148"/>
    <mergeCell ref="G143:H146"/>
    <mergeCell ref="G150:H150"/>
    <mergeCell ref="I150:J150"/>
    <mergeCell ref="I156:J156"/>
    <mergeCell ref="G156:H156"/>
    <mergeCell ref="I152:J152"/>
    <mergeCell ref="G152:H152"/>
    <mergeCell ref="G142:H142"/>
    <mergeCell ref="I127:J128"/>
    <mergeCell ref="K55:K56"/>
    <mergeCell ref="G59:H59"/>
    <mergeCell ref="I61:J61"/>
    <mergeCell ref="I57:J57"/>
    <mergeCell ref="G58:H58"/>
    <mergeCell ref="G57:H57"/>
    <mergeCell ref="I58:J58"/>
    <mergeCell ref="G54:H54"/>
    <mergeCell ref="I54:J54"/>
    <mergeCell ref="I60:J60"/>
    <mergeCell ref="I59:J59"/>
    <mergeCell ref="B94:F94"/>
    <mergeCell ref="I67:J67"/>
    <mergeCell ref="I87:J87"/>
    <mergeCell ref="K23:K24"/>
    <mergeCell ref="I31:J31"/>
    <mergeCell ref="I55:J56"/>
    <mergeCell ref="G55:H56"/>
    <mergeCell ref="I50:J50"/>
    <mergeCell ref="I52:J52"/>
    <mergeCell ref="I53:J53"/>
    <mergeCell ref="G38:H38"/>
    <mergeCell ref="G39:H39"/>
    <mergeCell ref="G40:H40"/>
    <mergeCell ref="G41:H41"/>
    <mergeCell ref="G42:H42"/>
    <mergeCell ref="G43:H43"/>
    <mergeCell ref="I23:J24"/>
    <mergeCell ref="G51:H51"/>
    <mergeCell ref="G25:H25"/>
    <mergeCell ref="G26:H26"/>
    <mergeCell ref="G27:H27"/>
    <mergeCell ref="G28:H28"/>
    <mergeCell ref="G29:H29"/>
    <mergeCell ref="G30:H30"/>
    <mergeCell ref="A64:F64"/>
    <mergeCell ref="A87:F87"/>
    <mergeCell ref="A65:F65"/>
    <mergeCell ref="A68:F68"/>
    <mergeCell ref="B77:F77"/>
    <mergeCell ref="B78:F78"/>
    <mergeCell ref="A74:F74"/>
    <mergeCell ref="B91:F91"/>
    <mergeCell ref="B92:F92"/>
    <mergeCell ref="G122:H122"/>
    <mergeCell ref="I122:J122"/>
    <mergeCell ref="A119:F119"/>
    <mergeCell ref="I106:J106"/>
    <mergeCell ref="I110:J110"/>
    <mergeCell ref="G16:H16"/>
    <mergeCell ref="I16:J16"/>
    <mergeCell ref="G17:H17"/>
    <mergeCell ref="I17:J17"/>
    <mergeCell ref="G18:H18"/>
    <mergeCell ref="I18:J18"/>
    <mergeCell ref="I84:J84"/>
    <mergeCell ref="I37:J37"/>
    <mergeCell ref="A48:F48"/>
    <mergeCell ref="A49:F49"/>
    <mergeCell ref="G50:H50"/>
    <mergeCell ref="G119:H120"/>
    <mergeCell ref="G91:H91"/>
    <mergeCell ref="G92:H92"/>
    <mergeCell ref="G61:H61"/>
    <mergeCell ref="A55:F55"/>
    <mergeCell ref="A56:F56"/>
    <mergeCell ref="A83:F83"/>
    <mergeCell ref="A63:F63"/>
    <mergeCell ref="A5:K5"/>
    <mergeCell ref="G175:H175"/>
    <mergeCell ref="G148:H148"/>
    <mergeCell ref="G138:H139"/>
    <mergeCell ref="G121:H121"/>
    <mergeCell ref="G103:H103"/>
    <mergeCell ref="I103:J103"/>
    <mergeCell ref="G87:H87"/>
    <mergeCell ref="G99:H99"/>
    <mergeCell ref="G97:H97"/>
    <mergeCell ref="G66:H66"/>
    <mergeCell ref="G84:H84"/>
    <mergeCell ref="G86:H86"/>
    <mergeCell ref="G85:H85"/>
    <mergeCell ref="G80:H80"/>
    <mergeCell ref="G75:H75"/>
    <mergeCell ref="G67:H67"/>
    <mergeCell ref="G90:H90"/>
    <mergeCell ref="G88:H88"/>
    <mergeCell ref="G95:H95"/>
    <mergeCell ref="G89:H89"/>
    <mergeCell ref="K64:K65"/>
    <mergeCell ref="K119:K120"/>
    <mergeCell ref="K127:K128"/>
    <mergeCell ref="K176:K177"/>
    <mergeCell ref="I151:J151"/>
    <mergeCell ref="G141:H141"/>
    <mergeCell ref="G153:H153"/>
    <mergeCell ref="I153:J153"/>
    <mergeCell ref="I86:J86"/>
    <mergeCell ref="G111:H111"/>
    <mergeCell ref="I111:J111"/>
    <mergeCell ref="G130:H130"/>
    <mergeCell ref="I118:J118"/>
    <mergeCell ref="I121:J121"/>
    <mergeCell ref="I95:J95"/>
    <mergeCell ref="I100:J100"/>
    <mergeCell ref="I101:J101"/>
    <mergeCell ref="I105:J105"/>
    <mergeCell ref="I130:J130"/>
    <mergeCell ref="I99:J99"/>
    <mergeCell ref="I115:J115"/>
    <mergeCell ref="G116:H116"/>
    <mergeCell ref="I116:J116"/>
    <mergeCell ref="G106:H106"/>
    <mergeCell ref="I88:J88"/>
    <mergeCell ref="G149:H149"/>
    <mergeCell ref="I143:J146"/>
    <mergeCell ref="I126:J126"/>
    <mergeCell ref="I96:J96"/>
    <mergeCell ref="I97:J97"/>
    <mergeCell ref="I91:J91"/>
    <mergeCell ref="I66:J66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8:J78"/>
    <mergeCell ref="I104:J104"/>
    <mergeCell ref="I82:J82"/>
    <mergeCell ref="G31:H31"/>
    <mergeCell ref="G32:H32"/>
    <mergeCell ref="G33:H33"/>
    <mergeCell ref="I40:J40"/>
    <mergeCell ref="I41:J41"/>
    <mergeCell ref="I42:J42"/>
    <mergeCell ref="I38:J38"/>
    <mergeCell ref="I39:J39"/>
    <mergeCell ref="G36:H36"/>
    <mergeCell ref="G37:H37"/>
    <mergeCell ref="I81:J81"/>
    <mergeCell ref="I80:J80"/>
    <mergeCell ref="I79:J79"/>
    <mergeCell ref="I51:J51"/>
    <mergeCell ref="G34:H34"/>
    <mergeCell ref="G35:H35"/>
    <mergeCell ref="I46:J46"/>
    <mergeCell ref="I47:J47"/>
    <mergeCell ref="I32:J32"/>
    <mergeCell ref="I33:J33"/>
    <mergeCell ref="I25:J25"/>
    <mergeCell ref="I26:J26"/>
    <mergeCell ref="I27:J27"/>
    <mergeCell ref="I28:J28"/>
    <mergeCell ref="I29:J29"/>
    <mergeCell ref="I30:J30"/>
    <mergeCell ref="I43:J43"/>
    <mergeCell ref="I44:J44"/>
    <mergeCell ref="I45:J45"/>
    <mergeCell ref="I34:J34"/>
    <mergeCell ref="I35:J35"/>
    <mergeCell ref="I36:J36"/>
    <mergeCell ref="A7:K8"/>
    <mergeCell ref="I62:J62"/>
    <mergeCell ref="I63:J63"/>
    <mergeCell ref="I64:J65"/>
    <mergeCell ref="I77:J77"/>
    <mergeCell ref="A177:F177"/>
    <mergeCell ref="A144:F144"/>
    <mergeCell ref="A176:F176"/>
    <mergeCell ref="A98:F98"/>
    <mergeCell ref="A138:F138"/>
    <mergeCell ref="A142:F142"/>
    <mergeCell ref="A143:F143"/>
    <mergeCell ref="A120:F120"/>
    <mergeCell ref="A80:F80"/>
    <mergeCell ref="A145:F145"/>
    <mergeCell ref="B123:F123"/>
    <mergeCell ref="B122:F122"/>
    <mergeCell ref="A69:F69"/>
    <mergeCell ref="B126:F126"/>
    <mergeCell ref="A112:F112"/>
    <mergeCell ref="A116:F116"/>
    <mergeCell ref="B107:F107"/>
    <mergeCell ref="G107:H107"/>
    <mergeCell ref="I107:J107"/>
    <mergeCell ref="A22:F22"/>
    <mergeCell ref="A21:F21"/>
    <mergeCell ref="A23:F23"/>
    <mergeCell ref="A24:F24"/>
    <mergeCell ref="I10:J11"/>
    <mergeCell ref="I12:J12"/>
    <mergeCell ref="A10:F11"/>
    <mergeCell ref="A12:F12"/>
    <mergeCell ref="G10:H11"/>
    <mergeCell ref="G12:H12"/>
    <mergeCell ref="G21:H21"/>
    <mergeCell ref="G22:H22"/>
    <mergeCell ref="G23:H24"/>
    <mergeCell ref="G14:H14"/>
    <mergeCell ref="I14:J14"/>
    <mergeCell ref="B14:F14"/>
    <mergeCell ref="I15:J15"/>
    <mergeCell ref="G15:H15"/>
    <mergeCell ref="G19:H19"/>
    <mergeCell ref="I19:J19"/>
    <mergeCell ref="G20:H20"/>
    <mergeCell ref="I20:J20"/>
    <mergeCell ref="I21:J21"/>
    <mergeCell ref="I22:J22"/>
    <mergeCell ref="G79:H79"/>
    <mergeCell ref="G76:H76"/>
    <mergeCell ref="G68:H68"/>
    <mergeCell ref="G69:H69"/>
    <mergeCell ref="G70:H70"/>
    <mergeCell ref="G71:H71"/>
    <mergeCell ref="G78:H78"/>
    <mergeCell ref="G72:H72"/>
    <mergeCell ref="G104:H104"/>
    <mergeCell ref="G77:H77"/>
    <mergeCell ref="G98:H98"/>
    <mergeCell ref="G100:H100"/>
    <mergeCell ref="G102:H102"/>
    <mergeCell ref="G96:H96"/>
    <mergeCell ref="G53:H53"/>
    <mergeCell ref="G44:H44"/>
    <mergeCell ref="G45:H45"/>
    <mergeCell ref="G46:H46"/>
    <mergeCell ref="G47:H47"/>
    <mergeCell ref="G60:H60"/>
    <mergeCell ref="G62:H62"/>
    <mergeCell ref="G63:H63"/>
    <mergeCell ref="G64:H65"/>
    <mergeCell ref="B89:F89"/>
    <mergeCell ref="A101:F101"/>
    <mergeCell ref="I98:J98"/>
    <mergeCell ref="G101:H101"/>
    <mergeCell ref="A135:F135"/>
    <mergeCell ref="B125:F125"/>
    <mergeCell ref="G113:H113"/>
    <mergeCell ref="I113:J113"/>
    <mergeCell ref="G110:H110"/>
    <mergeCell ref="G108:H108"/>
    <mergeCell ref="I108:J108"/>
    <mergeCell ref="G109:H109"/>
    <mergeCell ref="G105:H105"/>
    <mergeCell ref="I119:J120"/>
    <mergeCell ref="G118:H118"/>
    <mergeCell ref="A127:F127"/>
    <mergeCell ref="G127:H128"/>
    <mergeCell ref="G126:H126"/>
    <mergeCell ref="G114:H114"/>
    <mergeCell ref="I112:J112"/>
    <mergeCell ref="I114:J114"/>
    <mergeCell ref="I92:J92"/>
    <mergeCell ref="I102:J102"/>
    <mergeCell ref="I94:J94"/>
    <mergeCell ref="A52:F52"/>
    <mergeCell ref="G131:H131"/>
    <mergeCell ref="I131:J131"/>
    <mergeCell ref="A132:F132"/>
    <mergeCell ref="G132:H132"/>
    <mergeCell ref="I132:J132"/>
    <mergeCell ref="G133:H133"/>
    <mergeCell ref="I133:J133"/>
    <mergeCell ref="G117:H117"/>
    <mergeCell ref="I117:J117"/>
    <mergeCell ref="G52:H52"/>
    <mergeCell ref="I109:J109"/>
    <mergeCell ref="G81:H81"/>
    <mergeCell ref="B86:F86"/>
    <mergeCell ref="B85:F85"/>
    <mergeCell ref="B84:F84"/>
    <mergeCell ref="G83:H83"/>
    <mergeCell ref="I83:J83"/>
    <mergeCell ref="I85:J85"/>
    <mergeCell ref="I90:J90"/>
    <mergeCell ref="G94:H94"/>
    <mergeCell ref="I89:J89"/>
    <mergeCell ref="G73:H73"/>
    <mergeCell ref="G82:H82"/>
    <mergeCell ref="G135:H135"/>
    <mergeCell ref="I135:J135"/>
    <mergeCell ref="A139:F139"/>
    <mergeCell ref="I138:J139"/>
    <mergeCell ref="K143:K146"/>
    <mergeCell ref="G140:H140"/>
    <mergeCell ref="I140:J140"/>
    <mergeCell ref="I141:J141"/>
    <mergeCell ref="G151:H151"/>
    <mergeCell ref="K138:K139"/>
    <mergeCell ref="A165:F165"/>
    <mergeCell ref="G165:H165"/>
    <mergeCell ref="I165:J165"/>
    <mergeCell ref="K161:K162"/>
    <mergeCell ref="A162:F162"/>
    <mergeCell ref="G163:H163"/>
    <mergeCell ref="I163:J163"/>
    <mergeCell ref="G137:H137"/>
    <mergeCell ref="I137:J137"/>
    <mergeCell ref="K157:K158"/>
    <mergeCell ref="A158:F158"/>
    <mergeCell ref="B160:F160"/>
    <mergeCell ref="G160:H160"/>
    <mergeCell ref="B164:F164"/>
    <mergeCell ref="G164:H164"/>
    <mergeCell ref="I164:J164"/>
    <mergeCell ref="A161:F161"/>
    <mergeCell ref="G161:H162"/>
    <mergeCell ref="I161:J162"/>
  </mergeCells>
  <pageMargins left="0.7" right="0.7" top="0.75" bottom="0.75" header="0.3" footer="0.3"/>
  <pageSetup paperSize="9" scale="48" orientation="portrait" r:id="rId2"/>
  <rowBreaks count="1" manualBreakCount="1">
    <brk id="78" max="16383" man="1"/>
  </rowBreaks>
  <ignoredErrors>
    <ignoredError sqref="K142:K146 K138:K139 K127:K128 K55 K120 K63:K65 K14 K140 K56:K57 K129 K19:K25 K177 K176 K167:K168 K178 K50 K66 K119 K121 K147 K155 K157:K159 K17:K18 K48 K61 K68:K70 K72 K74:K75 K77 K79:K81 K83:K84 K87 K98:K99 K101:K102 K110 K112:K113 K116 K170:K171 K174 K183 K181" evalError="1"/>
    <ignoredError sqref="H66:J66 H77:J77 H81:J81 H110:J110 H117:J117 H168:J168" formulaRange="1"/>
    <ignoredError sqref="K117" evalError="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7"/>
  <sheetViews>
    <sheetView tabSelected="1" zoomScaleNormal="100" workbookViewId="0">
      <selection activeCell="J17" sqref="J17"/>
    </sheetView>
  </sheetViews>
  <sheetFormatPr defaultRowHeight="15" x14ac:dyDescent="0.25"/>
  <cols>
    <col min="1" max="1" width="5.140625" customWidth="1"/>
    <col min="2" max="2" width="24.28515625" customWidth="1"/>
    <col min="3" max="4" width="11.7109375" customWidth="1"/>
    <col min="5" max="5" width="14.42578125" customWidth="1"/>
    <col min="6" max="7" width="10.140625" customWidth="1"/>
    <col min="8" max="11" width="11.7109375" customWidth="1"/>
    <col min="12" max="13" width="11" customWidth="1"/>
  </cols>
  <sheetData>
    <row r="1" spans="1:14" x14ac:dyDescent="0.25">
      <c r="A1" s="63" t="s">
        <v>195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 x14ac:dyDescent="0.25">
      <c r="A2" s="62" t="s">
        <v>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4" x14ac:dyDescent="0.25">
      <c r="A3" s="62" t="s">
        <v>196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4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4" x14ac:dyDescent="0.25">
      <c r="A5" s="255" t="s">
        <v>162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</row>
    <row r="6" spans="1:14" x14ac:dyDescent="0.25">
      <c r="A6" s="255" t="s">
        <v>163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</row>
    <row r="7" spans="1:14" ht="15.75" thickBot="1" x14ac:dyDescent="0.3"/>
    <row r="8" spans="1:14" x14ac:dyDescent="0.25">
      <c r="A8" s="582"/>
      <c r="B8" s="583"/>
      <c r="C8" s="583"/>
      <c r="D8" s="583"/>
      <c r="E8" s="583"/>
      <c r="F8" s="583"/>
      <c r="G8" s="584"/>
      <c r="H8" s="449" t="s">
        <v>170</v>
      </c>
      <c r="I8" s="449"/>
      <c r="J8" s="449" t="s">
        <v>226</v>
      </c>
      <c r="K8" s="449"/>
      <c r="L8" s="449" t="s">
        <v>227</v>
      </c>
      <c r="M8" s="449"/>
    </row>
    <row r="9" spans="1:14" ht="15.75" thickBot="1" x14ac:dyDescent="0.3">
      <c r="A9" s="585"/>
      <c r="B9" s="586"/>
      <c r="C9" s="586"/>
      <c r="D9" s="586"/>
      <c r="E9" s="586"/>
      <c r="F9" s="586"/>
      <c r="G9" s="587"/>
      <c r="H9" s="589"/>
      <c r="I9" s="589"/>
      <c r="J9" s="589"/>
      <c r="K9" s="589"/>
      <c r="L9" s="589"/>
      <c r="M9" s="589"/>
    </row>
    <row r="10" spans="1:14" ht="15" customHeight="1" x14ac:dyDescent="0.25">
      <c r="A10" s="450" t="s">
        <v>171</v>
      </c>
      <c r="B10" s="588" t="s">
        <v>172</v>
      </c>
      <c r="C10" s="450" t="s">
        <v>173</v>
      </c>
      <c r="D10" s="450" t="s">
        <v>174</v>
      </c>
      <c r="E10" s="450" t="s">
        <v>175</v>
      </c>
      <c r="F10" s="450" t="s">
        <v>176</v>
      </c>
      <c r="G10" s="450" t="s">
        <v>177</v>
      </c>
      <c r="H10" s="450" t="s">
        <v>178</v>
      </c>
      <c r="I10" s="450" t="s">
        <v>179</v>
      </c>
      <c r="J10" s="450" t="s">
        <v>273</v>
      </c>
      <c r="K10" s="450" t="s">
        <v>274</v>
      </c>
      <c r="L10" s="450" t="s">
        <v>180</v>
      </c>
      <c r="M10" s="450" t="s">
        <v>181</v>
      </c>
    </row>
    <row r="11" spans="1:14" s="62" customFormat="1" x14ac:dyDescent="0.25">
      <c r="A11" s="278"/>
      <c r="B11" s="58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4" s="62" customFormat="1" x14ac:dyDescent="0.25">
      <c r="A12" s="278"/>
      <c r="B12" s="588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4" s="62" customFormat="1" x14ac:dyDescent="0.25">
      <c r="A13" s="278"/>
      <c r="B13" s="450"/>
      <c r="C13" s="278"/>
      <c r="D13" s="278"/>
      <c r="E13" s="278"/>
      <c r="F13" s="278"/>
      <c r="G13" s="278"/>
      <c r="H13" s="278"/>
      <c r="I13" s="278"/>
      <c r="J13" s="278"/>
      <c r="K13" s="278"/>
      <c r="L13" s="278"/>
      <c r="M13" s="278"/>
    </row>
    <row r="14" spans="1:14" ht="15.75" thickBot="1" x14ac:dyDescent="0.3">
      <c r="A14" s="226">
        <v>1</v>
      </c>
      <c r="B14" s="226">
        <v>2</v>
      </c>
      <c r="C14" s="226">
        <v>3</v>
      </c>
      <c r="D14" s="226">
        <v>4</v>
      </c>
      <c r="E14" s="226">
        <v>5</v>
      </c>
      <c r="F14" s="226">
        <v>6</v>
      </c>
      <c r="G14" s="226">
        <v>7</v>
      </c>
      <c r="H14" s="226">
        <v>8</v>
      </c>
      <c r="I14" s="226">
        <v>9</v>
      </c>
      <c r="J14" s="226">
        <v>10</v>
      </c>
      <c r="K14" s="226">
        <v>11</v>
      </c>
      <c r="L14" s="226">
        <v>12</v>
      </c>
      <c r="M14" s="226">
        <v>13</v>
      </c>
      <c r="N14" s="64"/>
    </row>
    <row r="15" spans="1:14" ht="30" x14ac:dyDescent="0.25">
      <c r="A15" s="228" t="s">
        <v>167</v>
      </c>
      <c r="B15" s="228" t="s">
        <v>268</v>
      </c>
      <c r="C15" s="184" t="s">
        <v>164</v>
      </c>
      <c r="D15" s="228" t="s">
        <v>269</v>
      </c>
      <c r="E15" s="229">
        <v>45864</v>
      </c>
      <c r="F15" s="229">
        <v>45872</v>
      </c>
      <c r="G15" s="230">
        <v>2417</v>
      </c>
      <c r="H15" s="231">
        <v>2417</v>
      </c>
      <c r="I15" s="231">
        <v>2417</v>
      </c>
      <c r="J15" s="232">
        <v>2417</v>
      </c>
      <c r="K15" s="232">
        <v>2417</v>
      </c>
      <c r="L15" s="233">
        <v>0</v>
      </c>
      <c r="M15" s="233">
        <v>0</v>
      </c>
    </row>
    <row r="16" spans="1:14" ht="30" x14ac:dyDescent="0.25">
      <c r="A16" s="234" t="s">
        <v>168</v>
      </c>
      <c r="B16" s="234" t="s">
        <v>270</v>
      </c>
      <c r="C16" s="185" t="s">
        <v>164</v>
      </c>
      <c r="D16" s="234" t="s">
        <v>269</v>
      </c>
      <c r="E16" s="235">
        <v>45444</v>
      </c>
      <c r="F16" s="235">
        <v>45900</v>
      </c>
      <c r="G16" s="236">
        <v>49230</v>
      </c>
      <c r="H16" s="237">
        <v>9846</v>
      </c>
      <c r="I16" s="237">
        <v>49230</v>
      </c>
      <c r="J16" s="238">
        <v>49230</v>
      </c>
      <c r="K16" s="238">
        <v>33427.019999999997</v>
      </c>
      <c r="L16" s="239">
        <v>0</v>
      </c>
      <c r="M16" s="239">
        <v>0</v>
      </c>
    </row>
    <row r="17" spans="1:13" ht="30.75" thickBot="1" x14ac:dyDescent="0.3">
      <c r="A17" s="240" t="s">
        <v>169</v>
      </c>
      <c r="B17" s="241" t="s">
        <v>271</v>
      </c>
      <c r="C17" s="202" t="s">
        <v>164</v>
      </c>
      <c r="D17" s="241" t="s">
        <v>269</v>
      </c>
      <c r="E17" s="242">
        <v>45809</v>
      </c>
      <c r="F17" s="242">
        <v>46265</v>
      </c>
      <c r="G17" s="243">
        <v>98803</v>
      </c>
      <c r="H17" s="244">
        <v>79042.399999999994</v>
      </c>
      <c r="I17" s="244">
        <v>4010.55</v>
      </c>
      <c r="J17" s="245">
        <v>79042.399999999994</v>
      </c>
      <c r="K17" s="245">
        <v>4010.55</v>
      </c>
      <c r="L17" s="246">
        <v>0</v>
      </c>
      <c r="M17" s="246">
        <v>19760.599999999999</v>
      </c>
    </row>
  </sheetData>
  <mergeCells count="19">
    <mergeCell ref="K10:K13"/>
    <mergeCell ref="L10:L13"/>
    <mergeCell ref="A6:M6"/>
    <mergeCell ref="A8:G9"/>
    <mergeCell ref="M10:M13"/>
    <mergeCell ref="B10:B13"/>
    <mergeCell ref="A5:M5"/>
    <mergeCell ref="A10:A13"/>
    <mergeCell ref="H8:I9"/>
    <mergeCell ref="J8:K9"/>
    <mergeCell ref="L8:M9"/>
    <mergeCell ref="C10:C13"/>
    <mergeCell ref="E10:E13"/>
    <mergeCell ref="D10:D13"/>
    <mergeCell ref="F10:F13"/>
    <mergeCell ref="G10:G13"/>
    <mergeCell ref="H10:H13"/>
    <mergeCell ref="I10:I13"/>
    <mergeCell ref="J10:J13"/>
  </mergeCells>
  <pageMargins left="0.7" right="0.7" top="0.75" bottom="0.75" header="0.3" footer="0.3"/>
  <pageSetup paperSize="9" scale="54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4"/>
  <sheetViews>
    <sheetView zoomScaleNormal="100" workbookViewId="0"/>
  </sheetViews>
  <sheetFormatPr defaultRowHeight="15" x14ac:dyDescent="0.25"/>
  <cols>
    <col min="8" max="8" width="3.42578125" customWidth="1"/>
  </cols>
  <sheetData>
    <row r="1" spans="1:13" x14ac:dyDescent="0.25">
      <c r="A1" s="63" t="s">
        <v>195</v>
      </c>
    </row>
    <row r="2" spans="1:13" x14ac:dyDescent="0.25">
      <c r="A2" s="62" t="s">
        <v>12</v>
      </c>
    </row>
    <row r="3" spans="1:13" x14ac:dyDescent="0.25">
      <c r="A3" s="62" t="s">
        <v>196</v>
      </c>
    </row>
    <row r="5" spans="1:13" x14ac:dyDescent="0.25">
      <c r="A5" s="255" t="s">
        <v>162</v>
      </c>
      <c r="B5" s="255"/>
      <c r="C5" s="255"/>
      <c r="D5" s="255"/>
      <c r="E5" s="255"/>
      <c r="F5" s="255"/>
      <c r="G5" s="255"/>
      <c r="H5" s="255"/>
      <c r="I5" s="50"/>
      <c r="J5" s="50"/>
      <c r="K5" s="50"/>
      <c r="L5" s="50"/>
      <c r="M5" s="50"/>
    </row>
    <row r="6" spans="1:13" ht="15" customHeight="1" x14ac:dyDescent="0.25">
      <c r="A6" s="567" t="s">
        <v>165</v>
      </c>
      <c r="B6" s="567"/>
      <c r="C6" s="567"/>
      <c r="D6" s="567"/>
      <c r="E6" s="567"/>
      <c r="F6" s="567"/>
      <c r="G6" s="567"/>
      <c r="H6" s="567"/>
      <c r="I6" s="61"/>
      <c r="J6" s="61"/>
      <c r="K6" s="61"/>
      <c r="L6" s="61"/>
      <c r="M6" s="61"/>
    </row>
    <row r="7" spans="1:13" x14ac:dyDescent="0.25">
      <c r="A7" s="567"/>
      <c r="B7" s="567"/>
      <c r="C7" s="567"/>
      <c r="D7" s="567"/>
      <c r="E7" s="567"/>
      <c r="F7" s="567"/>
      <c r="G7" s="567"/>
      <c r="H7" s="567"/>
      <c r="I7" s="61"/>
      <c r="J7" s="61"/>
      <c r="K7" s="61"/>
      <c r="L7" s="61"/>
      <c r="M7" s="61"/>
    </row>
    <row r="8" spans="1:13" ht="15.75" thickBot="1" x14ac:dyDescent="0.3"/>
    <row r="9" spans="1:13" ht="15" customHeight="1" x14ac:dyDescent="0.25">
      <c r="A9" s="483" t="s">
        <v>221</v>
      </c>
      <c r="B9" s="484"/>
      <c r="C9" s="484"/>
      <c r="D9" s="484"/>
      <c r="E9" s="484"/>
      <c r="F9" s="485"/>
      <c r="G9" s="265" t="s">
        <v>228</v>
      </c>
      <c r="H9" s="266"/>
    </row>
    <row r="10" spans="1:13" x14ac:dyDescent="0.25">
      <c r="A10" s="486"/>
      <c r="B10" s="487"/>
      <c r="C10" s="487"/>
      <c r="D10" s="487"/>
      <c r="E10" s="487"/>
      <c r="F10" s="488"/>
      <c r="G10" s="590"/>
      <c r="H10" s="591"/>
    </row>
    <row r="11" spans="1:13" ht="15.75" thickBot="1" x14ac:dyDescent="0.3">
      <c r="A11" s="384" t="s">
        <v>166</v>
      </c>
      <c r="B11" s="385"/>
      <c r="C11" s="385"/>
      <c r="D11" s="385"/>
      <c r="E11" s="385"/>
      <c r="F11" s="391"/>
      <c r="G11" s="592"/>
      <c r="H11" s="593"/>
    </row>
    <row r="12" spans="1:13" ht="15" customHeight="1" x14ac:dyDescent="0.25">
      <c r="A12" s="65" t="s">
        <v>167</v>
      </c>
      <c r="B12" s="68" t="s">
        <v>182</v>
      </c>
      <c r="C12" s="68"/>
      <c r="D12" s="68"/>
      <c r="E12" s="68"/>
      <c r="F12" s="69"/>
      <c r="G12" s="598">
        <v>0</v>
      </c>
      <c r="H12" s="599"/>
    </row>
    <row r="13" spans="1:13" ht="15" customHeight="1" x14ac:dyDescent="0.25">
      <c r="A13" s="66" t="s">
        <v>168</v>
      </c>
      <c r="B13" s="70" t="s">
        <v>183</v>
      </c>
      <c r="C13" s="57"/>
      <c r="D13" s="57"/>
      <c r="E13" s="57"/>
      <c r="F13" s="58"/>
      <c r="G13" s="594">
        <v>0</v>
      </c>
      <c r="H13" s="595"/>
    </row>
    <row r="14" spans="1:13" ht="15.75" customHeight="1" thickBot="1" x14ac:dyDescent="0.3">
      <c r="A14" s="67" t="s">
        <v>169</v>
      </c>
      <c r="B14" s="71" t="s">
        <v>184</v>
      </c>
      <c r="C14" s="59"/>
      <c r="D14" s="59"/>
      <c r="E14" s="59"/>
      <c r="F14" s="60"/>
      <c r="G14" s="596">
        <v>0</v>
      </c>
      <c r="H14" s="597"/>
    </row>
  </sheetData>
  <mergeCells count="8">
    <mergeCell ref="A5:H5"/>
    <mergeCell ref="G9:H11"/>
    <mergeCell ref="G13:H13"/>
    <mergeCell ref="G14:H14"/>
    <mergeCell ref="A6:H7"/>
    <mergeCell ref="A11:F11"/>
    <mergeCell ref="G12:H12"/>
    <mergeCell ref="A9:F10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SAŽETAK</vt:lpstr>
      <vt:lpstr>Račun prihoda i rashoda</vt:lpstr>
      <vt:lpstr>Rashodi i prihodi prema izvoru</vt:lpstr>
      <vt:lpstr>Rashodi prema funkcijskoj k </vt:lpstr>
      <vt:lpstr>Račun financiranja</vt:lpstr>
      <vt:lpstr>Račun financiranja po izvorima</vt:lpstr>
      <vt:lpstr>Programska klasifikacija</vt:lpstr>
      <vt:lpstr>Posebni izvještaj-EU fondovi</vt:lpstr>
      <vt:lpstr>Stanje potraživanja, obveza</vt:lpstr>
      <vt:lpstr>'Programska klasifikacija'!Print_Area</vt:lpstr>
      <vt:lpstr>'Račun prihoda i rashoda'!Print_Area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Racunovodja</dc:creator>
  <cp:lastModifiedBy>User</cp:lastModifiedBy>
  <cp:lastPrinted>2026-03-25T11:56:59Z</cp:lastPrinted>
  <dcterms:created xsi:type="dcterms:W3CDTF">2023-02-09T09:40:18Z</dcterms:created>
  <dcterms:modified xsi:type="dcterms:W3CDTF">2026-03-27T10:02:55Z</dcterms:modified>
</cp:coreProperties>
</file>